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128" yWindow="468" windowWidth="19440" windowHeight="11760" tabRatio="911"/>
  </bookViews>
  <sheets>
    <sheet name="CRM Apportioned Totals" sheetId="5" r:id="rId1"/>
    <sheet name="SB2K-Inchcape-KI" sheetId="1" r:id="rId2"/>
    <sheet name="SB2K-NNG-KI" sheetId="3" r:id="rId3"/>
    <sheet name="SB2K-Seagreen-KI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23" i="1"/>
  <c r="F8" i="1"/>
  <c r="J8" i="1"/>
  <c r="F2" i="1"/>
  <c r="J2" i="1"/>
  <c r="F3" i="1"/>
  <c r="J3" i="1"/>
  <c r="F4" i="1"/>
  <c r="J4" i="1"/>
  <c r="F5" i="1"/>
  <c r="J5" i="1"/>
  <c r="F7" i="1"/>
  <c r="J7" i="1"/>
  <c r="F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J23" i="1"/>
  <c r="K8" i="1"/>
  <c r="B6" i="2"/>
  <c r="B22" i="2"/>
  <c r="F5" i="2"/>
  <c r="K3" i="1"/>
  <c r="B7" i="5"/>
  <c r="B25" i="5"/>
  <c r="B6" i="3"/>
  <c r="B24" i="3"/>
  <c r="F3" i="3"/>
  <c r="J3" i="3"/>
  <c r="F2" i="3"/>
  <c r="J2" i="3"/>
  <c r="F4" i="3"/>
  <c r="J4" i="3"/>
  <c r="F5" i="3"/>
  <c r="J5" i="3"/>
  <c r="F7" i="3"/>
  <c r="J7" i="3"/>
  <c r="F8" i="3"/>
  <c r="J8" i="3"/>
  <c r="F9" i="3"/>
  <c r="J9" i="3"/>
  <c r="F10" i="3"/>
  <c r="J10" i="3"/>
  <c r="F11" i="3"/>
  <c r="J11" i="3"/>
  <c r="F12" i="3"/>
  <c r="J12" i="3"/>
  <c r="F13" i="3"/>
  <c r="J13" i="3"/>
  <c r="F14" i="3"/>
  <c r="J14" i="3"/>
  <c r="F15" i="3"/>
  <c r="J15" i="3"/>
  <c r="F16" i="3"/>
  <c r="J16" i="3"/>
  <c r="F17" i="3"/>
  <c r="J17" i="3"/>
  <c r="F18" i="3"/>
  <c r="J18" i="3"/>
  <c r="F19" i="3"/>
  <c r="J19" i="3"/>
  <c r="F20" i="3"/>
  <c r="J20" i="3"/>
  <c r="F21" i="3"/>
  <c r="J21" i="3"/>
  <c r="F22" i="3"/>
  <c r="J22" i="3"/>
  <c r="J24" i="3"/>
  <c r="K3" i="3"/>
  <c r="C7" i="5"/>
  <c r="C25" i="5"/>
  <c r="F3" i="2"/>
  <c r="J3" i="2"/>
  <c r="F2" i="2"/>
  <c r="J2" i="2"/>
  <c r="F4" i="2"/>
  <c r="J4" i="2"/>
  <c r="J5" i="2"/>
  <c r="F7" i="2"/>
  <c r="J7" i="2"/>
  <c r="F8" i="2"/>
  <c r="J8" i="2"/>
  <c r="F9" i="2"/>
  <c r="J9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J18" i="2"/>
  <c r="F19" i="2"/>
  <c r="J19" i="2"/>
  <c r="F20" i="2"/>
  <c r="J20" i="2"/>
  <c r="J22" i="2"/>
  <c r="K3" i="2"/>
  <c r="D7" i="5"/>
  <c r="D25" i="5"/>
  <c r="K4" i="1"/>
  <c r="B8" i="5"/>
  <c r="B26" i="5"/>
  <c r="K4" i="3"/>
  <c r="C8" i="5"/>
  <c r="C26" i="5"/>
  <c r="K4" i="2"/>
  <c r="D8" i="5"/>
  <c r="D26" i="5"/>
  <c r="K5" i="1"/>
  <c r="B9" i="5"/>
  <c r="B27" i="5"/>
  <c r="K5" i="3"/>
  <c r="C9" i="5"/>
  <c r="C27" i="5"/>
  <c r="K5" i="2"/>
  <c r="D9" i="5"/>
  <c r="D27" i="5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B11" i="5"/>
  <c r="B28" i="5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C11" i="5"/>
  <c r="C28" i="5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D11" i="5"/>
  <c r="D28" i="5"/>
  <c r="K2" i="1"/>
  <c r="B6" i="5"/>
  <c r="B24" i="5"/>
  <c r="K2" i="3"/>
  <c r="C6" i="5"/>
  <c r="C24" i="5"/>
  <c r="K2" i="2"/>
  <c r="D6" i="5"/>
  <c r="D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E28" i="5"/>
  <c r="F28" i="5"/>
  <c r="G28" i="5"/>
  <c r="H28" i="5"/>
  <c r="I28" i="5"/>
  <c r="E24" i="5"/>
  <c r="E29" i="5"/>
  <c r="F24" i="5"/>
  <c r="F29" i="5"/>
  <c r="G24" i="5"/>
  <c r="G29" i="5"/>
  <c r="H24" i="5"/>
  <c r="H29" i="5"/>
  <c r="I29" i="5"/>
  <c r="I24" i="5"/>
  <c r="C22" i="2"/>
  <c r="E22" i="2"/>
  <c r="H2" i="2"/>
  <c r="B17" i="2"/>
  <c r="B21" i="1"/>
  <c r="B20" i="1"/>
  <c r="B19" i="1"/>
  <c r="B10" i="1"/>
  <c r="B22" i="3"/>
  <c r="B16" i="3"/>
  <c r="B15" i="3"/>
  <c r="B14" i="3"/>
  <c r="B12" i="3"/>
  <c r="B10" i="3"/>
  <c r="H19" i="2"/>
  <c r="E23" i="1"/>
  <c r="C23" i="1"/>
  <c r="C24" i="3"/>
  <c r="E24" i="3"/>
  <c r="D22" i="3"/>
  <c r="D21" i="3"/>
  <c r="B21" i="3"/>
  <c r="D20" i="3"/>
  <c r="B20" i="3"/>
  <c r="D19" i="3"/>
  <c r="B19" i="3"/>
  <c r="D18" i="3"/>
  <c r="B18" i="3"/>
  <c r="D17" i="3"/>
  <c r="B17" i="3"/>
  <c r="D16" i="3"/>
  <c r="D15" i="3"/>
  <c r="D14" i="3"/>
  <c r="D13" i="3"/>
  <c r="B13" i="3"/>
  <c r="D12" i="3"/>
  <c r="D11" i="3"/>
  <c r="B11" i="3"/>
  <c r="D10" i="3"/>
  <c r="D9" i="3"/>
  <c r="B9" i="3"/>
  <c r="D8" i="3"/>
  <c r="B8" i="3"/>
  <c r="D7" i="3"/>
  <c r="B7" i="3"/>
  <c r="D2" i="3"/>
  <c r="D5" i="3"/>
  <c r="D3" i="3"/>
  <c r="D4" i="3"/>
  <c r="D20" i="2"/>
  <c r="D19" i="2"/>
  <c r="B19" i="2"/>
  <c r="D18" i="2"/>
  <c r="B18" i="2"/>
  <c r="D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D9" i="2"/>
  <c r="B9" i="2"/>
  <c r="D8" i="2"/>
  <c r="B8" i="2"/>
  <c r="D7" i="2"/>
  <c r="B7" i="2"/>
  <c r="D2" i="2"/>
  <c r="D5" i="2"/>
  <c r="D3" i="2"/>
  <c r="D4" i="2"/>
  <c r="D21" i="1"/>
  <c r="D20" i="1"/>
  <c r="D19" i="1"/>
  <c r="D18" i="1"/>
  <c r="B18" i="1"/>
  <c r="D17" i="1"/>
  <c r="B17" i="1"/>
  <c r="D16" i="1"/>
  <c r="B16" i="1"/>
  <c r="D15" i="1"/>
  <c r="D14" i="1"/>
  <c r="D13" i="1"/>
  <c r="B13" i="1"/>
  <c r="D12" i="1"/>
  <c r="B12" i="1"/>
  <c r="D11" i="1"/>
  <c r="B11" i="1"/>
  <c r="D10" i="1"/>
  <c r="D9" i="1"/>
  <c r="B9" i="1"/>
  <c r="D8" i="1"/>
  <c r="B8" i="1"/>
  <c r="D7" i="1"/>
  <c r="B7" i="1"/>
  <c r="D2" i="1"/>
  <c r="D5" i="1"/>
  <c r="D3" i="1"/>
  <c r="D4" i="1"/>
  <c r="D22" i="2"/>
  <c r="G2" i="2"/>
  <c r="B22" i="1"/>
  <c r="B23" i="3"/>
  <c r="H13" i="1"/>
  <c r="H2" i="1"/>
  <c r="H21" i="3"/>
  <c r="H2" i="3"/>
  <c r="G17" i="2"/>
  <c r="B21" i="2"/>
  <c r="H11" i="1"/>
  <c r="D23" i="1"/>
  <c r="D24" i="3"/>
  <c r="G2" i="3"/>
  <c r="H8" i="1"/>
  <c r="H18" i="1"/>
  <c r="H4" i="1"/>
  <c r="H19" i="1"/>
  <c r="H9" i="3"/>
  <c r="H10" i="3"/>
  <c r="H18" i="3"/>
  <c r="H5" i="3"/>
  <c r="H13" i="3"/>
  <c r="H11" i="3"/>
  <c r="H4" i="3"/>
  <c r="H19" i="3"/>
  <c r="H3" i="3"/>
  <c r="H8" i="3"/>
  <c r="H15" i="3"/>
  <c r="H20" i="3"/>
  <c r="H14" i="3"/>
  <c r="H22" i="3"/>
  <c r="H7" i="3"/>
  <c r="H12" i="3"/>
  <c r="H16" i="3"/>
  <c r="H17" i="3"/>
  <c r="H11" i="2"/>
  <c r="H4" i="2"/>
  <c r="H12" i="2"/>
  <c r="H13" i="2"/>
  <c r="H18" i="2"/>
  <c r="H5" i="2"/>
  <c r="H10" i="2"/>
  <c r="H15" i="2"/>
  <c r="H20" i="2"/>
  <c r="H16" i="2"/>
  <c r="H17" i="2"/>
  <c r="H3" i="2"/>
  <c r="H7" i="2"/>
  <c r="H8" i="2"/>
  <c r="H9" i="2"/>
  <c r="H14" i="2"/>
  <c r="H22" i="2"/>
  <c r="H9" i="1"/>
  <c r="H10" i="1"/>
  <c r="H16" i="1"/>
  <c r="H21" i="1"/>
  <c r="H5" i="1"/>
  <c r="H7" i="1"/>
  <c r="H12" i="1"/>
  <c r="H17" i="1"/>
  <c r="H3" i="1"/>
  <c r="H14" i="1"/>
  <c r="H15" i="1"/>
  <c r="H20" i="1"/>
  <c r="G12" i="3"/>
  <c r="G17" i="3"/>
  <c r="G11" i="1"/>
  <c r="G2" i="1"/>
  <c r="G13" i="2"/>
  <c r="G16" i="1"/>
  <c r="H23" i="1"/>
  <c r="G7" i="1"/>
  <c r="G12" i="1"/>
  <c r="G21" i="1"/>
  <c r="G17" i="1"/>
  <c r="G3" i="1"/>
  <c r="G9" i="1"/>
  <c r="G18" i="1"/>
  <c r="G19" i="1"/>
  <c r="G3" i="3"/>
  <c r="G15" i="3"/>
  <c r="G19" i="3"/>
  <c r="G14" i="3"/>
  <c r="G16" i="3"/>
  <c r="G11" i="3"/>
  <c r="G10" i="3"/>
  <c r="G9" i="3"/>
  <c r="G13" i="3"/>
  <c r="G8" i="3"/>
  <c r="G7" i="3"/>
  <c r="G21" i="3"/>
  <c r="G20" i="3"/>
  <c r="H24" i="3"/>
  <c r="G5" i="3"/>
  <c r="G4" i="3"/>
  <c r="G22" i="3"/>
  <c r="G18" i="3"/>
  <c r="G8" i="2"/>
  <c r="G7" i="2"/>
  <c r="G20" i="2"/>
  <c r="G14" i="2"/>
  <c r="G3" i="2"/>
  <c r="G4" i="2"/>
  <c r="G5" i="2"/>
  <c r="G9" i="2"/>
  <c r="G10" i="2"/>
  <c r="G11" i="2"/>
  <c r="G12" i="2"/>
  <c r="G15" i="2"/>
  <c r="G16" i="2"/>
  <c r="G18" i="2"/>
  <c r="G19" i="2"/>
  <c r="G22" i="2"/>
  <c r="G14" i="1"/>
  <c r="G8" i="1"/>
  <c r="G10" i="1"/>
  <c r="G13" i="1"/>
  <c r="G15" i="1"/>
  <c r="G4" i="1"/>
  <c r="G20" i="1"/>
  <c r="G5" i="1"/>
  <c r="F22" i="2"/>
  <c r="F23" i="1"/>
  <c r="G23" i="1"/>
  <c r="G24" i="3"/>
  <c r="F24" i="3"/>
  <c r="K6" i="3"/>
  <c r="K6" i="1"/>
  <c r="C29" i="5"/>
  <c r="K6" i="2"/>
  <c r="D10" i="5"/>
  <c r="K22" i="2"/>
  <c r="B10" i="5"/>
  <c r="B12" i="5"/>
  <c r="K23" i="1"/>
  <c r="B29" i="5"/>
  <c r="C10" i="5"/>
  <c r="C12" i="5"/>
  <c r="K24" i="3"/>
  <c r="D29" i="5"/>
  <c r="D12" i="5"/>
</calcChain>
</file>

<file path=xl/comments1.xml><?xml version="1.0" encoding="utf-8"?>
<comments xmlns="http://schemas.openxmlformats.org/spreadsheetml/2006/main">
  <authors>
    <author>Vicki Saint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Vicki Saint:</t>
        </r>
        <r>
          <rPr>
            <sz val="9"/>
            <color indexed="81"/>
            <rFont val="Tahoma"/>
            <family val="2"/>
          </rPr>
          <t xml:space="preserve">
These CRM predictions are project specific and based on snapshot Aerial Abundance Data </t>
        </r>
      </text>
    </comment>
  </commentList>
</comments>
</file>

<file path=xl/comments2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3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4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sharedStrings.xml><?xml version="1.0" encoding="utf-8"?>
<sst xmlns="http://schemas.openxmlformats.org/spreadsheetml/2006/main" count="150" uniqueCount="70">
  <si>
    <t>Kittiwake Colony Name</t>
  </si>
  <si>
    <t>Pop (Individs)</t>
  </si>
  <si>
    <t>Distance</t>
  </si>
  <si>
    <t>Distance ^2</t>
  </si>
  <si>
    <t>Proportion Sea</t>
  </si>
  <si>
    <t>Colpop/sumpop</t>
  </si>
  <si>
    <t>Sum dist2/col dist2</t>
  </si>
  <si>
    <t>colsea/sumsea</t>
  </si>
  <si>
    <t>SNHWeighting</t>
  </si>
  <si>
    <t>SNH prop</t>
  </si>
  <si>
    <t>Fowlsheugh</t>
  </si>
  <si>
    <t>Forth Islands</t>
  </si>
  <si>
    <t>St Abbs Head to Fast Castle</t>
  </si>
  <si>
    <t>Buchan Ness</t>
  </si>
  <si>
    <t>Berwick to Border</t>
  </si>
  <si>
    <t>Burn of Daff</t>
  </si>
  <si>
    <t>Catterline to Inv</t>
  </si>
  <si>
    <t>Dunbar Coast</t>
  </si>
  <si>
    <t>Eyemouth to Burnmouth</t>
  </si>
  <si>
    <t>Findon Ness - Hare Ness</t>
  </si>
  <si>
    <t>Girdle Ness to Hare Ness</t>
  </si>
  <si>
    <t>Inchcolm</t>
  </si>
  <si>
    <t>Inchkeith</t>
  </si>
  <si>
    <t>Montrose to Lunnan Bay</t>
  </si>
  <si>
    <t>Newton Hill</t>
  </si>
  <si>
    <t>Newton Hill - Hall Bay</t>
  </si>
  <si>
    <t>St Abbs to Eyemouth</t>
  </si>
  <si>
    <t>Stonehaven to wine cove</t>
  </si>
  <si>
    <t>Whiting Ness to Ethie Haven SSSI</t>
  </si>
  <si>
    <t>Sum</t>
  </si>
  <si>
    <t>Sands of Fv</t>
  </si>
  <si>
    <t>Farne Islands</t>
  </si>
  <si>
    <t>Inchkieth</t>
  </si>
  <si>
    <t>Incholm</t>
  </si>
  <si>
    <t>Seahouses</t>
  </si>
  <si>
    <t>Inch Cape</t>
  </si>
  <si>
    <t>NNG</t>
  </si>
  <si>
    <t>Seagreen</t>
  </si>
  <si>
    <t>SPA Total</t>
  </si>
  <si>
    <t>Non-SPA Total</t>
  </si>
  <si>
    <t>SB2K</t>
  </si>
  <si>
    <t>Total SPA</t>
  </si>
  <si>
    <t>Non-SPA</t>
  </si>
  <si>
    <t>Total SPA and Non-SPA</t>
  </si>
  <si>
    <t>Total on Projects</t>
  </si>
  <si>
    <t>Proportion of Impact</t>
  </si>
  <si>
    <t xml:space="preserve">Inch Cape </t>
  </si>
  <si>
    <t>Total</t>
  </si>
  <si>
    <t xml:space="preserve">Buchan Ness to Collieston Coast SPA </t>
  </si>
  <si>
    <t xml:space="preserve">Fowlsheugh SPA </t>
  </si>
  <si>
    <t xml:space="preserve">Forth Islands SPA </t>
  </si>
  <si>
    <t xml:space="preserve">St Abb’s Head to Fastcastle SPA </t>
  </si>
  <si>
    <t>Non-SPA Proportion</t>
  </si>
  <si>
    <t>Year Counted</t>
  </si>
  <si>
    <t>SPA TOTAL</t>
  </si>
  <si>
    <t>Table 1. Apportioned % per Colony Per Project</t>
  </si>
  <si>
    <t>Table 3. Apportioning Seabird 2K (SB2K)</t>
  </si>
  <si>
    <t>nb/  Stonehaven to Wine Cove is referred to as Crawton - Stonehaven (Fowlsheugh)</t>
  </si>
  <si>
    <t>nb/ Fowlsheugh SPA is comprised of sites Fowlsheugh 2-5 &amp; Trollochy Cove</t>
  </si>
  <si>
    <t>Colony counts taken from either JNCC SMP database (http://jncc.defra.gov.uk/smp/) or SB2K database (http://jncc.defra.gov.uk/files/Seabird%202000.zip)</t>
  </si>
  <si>
    <t>Seagreen Alpha</t>
  </si>
  <si>
    <t>Seagreen Bravo</t>
  </si>
  <si>
    <t>FTOWDG - Kittiwake CRM Apportioning</t>
  </si>
  <si>
    <t>Totals</t>
  </si>
  <si>
    <t>Table 2. Worst Case Scenarios Breeding Season Collisions Only - Kittiwake</t>
  </si>
  <si>
    <t xml:space="preserve">UPDATED POPULATION FIGURES </t>
  </si>
  <si>
    <t>NOTE IN THIS UPDATED DOCUMENT THE POPULATION</t>
  </si>
  <si>
    <t>Scenario 2</t>
  </si>
  <si>
    <t>Adult collisions in Breeding Season</t>
  </si>
  <si>
    <t>Worst Case Scenario (Scenario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</si>
</sst>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_-* #,##0.0000000_-;\-* #,##0.0000000_-;_-* &quot;-&quot;??_-;_-@_-"/>
    <numFmt numFmtId="167" formatCode="0.000"/>
    <numFmt numFmtId="168" formatCode="_-* #,##0.00_-;\-* #,##0.00_-;_-* &quot;-&quot;???????_-;_-@_-"/>
    <numFmt numFmtId="169" formatCode="_-* #,##0.00000_-;\-* #,##0.00000_-;_-* &quot;-&quot;??_-;_-@_-"/>
    <numFmt numFmtId="170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6" fontId="0" fillId="2" borderId="0" xfId="0" applyNumberFormat="1" applyFill="1"/>
    <xf numFmtId="43" fontId="0" fillId="0" borderId="0" xfId="0" applyNumberFormat="1" applyFont="1"/>
    <xf numFmtId="165" fontId="0" fillId="0" borderId="0" xfId="0" applyNumberFormat="1" applyFont="1"/>
    <xf numFmtId="43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3" fillId="0" borderId="9" xfId="0" applyFont="1" applyBorder="1"/>
    <xf numFmtId="0" fontId="3" fillId="0" borderId="11" xfId="0" applyFont="1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9" xfId="0" applyFont="1" applyBorder="1"/>
    <xf numFmtId="167" fontId="0" fillId="0" borderId="0" xfId="0" applyNumberFormat="1" applyFont="1" applyBorder="1"/>
    <xf numFmtId="167" fontId="0" fillId="0" borderId="0" xfId="0" applyNumberFormat="1" applyFont="1"/>
    <xf numFmtId="10" fontId="0" fillId="0" borderId="5" xfId="0" applyNumberFormat="1" applyFont="1" applyFill="1" applyBorder="1"/>
    <xf numFmtId="10" fontId="0" fillId="0" borderId="0" xfId="0" applyNumberFormat="1" applyFont="1" applyBorder="1"/>
    <xf numFmtId="0" fontId="3" fillId="0" borderId="15" xfId="0" applyFont="1" applyBorder="1" applyAlignment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5" fillId="5" borderId="0" xfId="0" applyFont="1" applyFill="1"/>
    <xf numFmtId="164" fontId="15" fillId="5" borderId="0" xfId="1" applyNumberFormat="1" applyFont="1" applyFill="1"/>
    <xf numFmtId="43" fontId="15" fillId="5" borderId="0" xfId="1" applyFont="1" applyFill="1"/>
    <xf numFmtId="0" fontId="3" fillId="5" borderId="0" xfId="0" applyFont="1" applyFill="1"/>
    <xf numFmtId="164" fontId="3" fillId="5" borderId="0" xfId="1" applyNumberFormat="1" applyFont="1" applyFill="1"/>
    <xf numFmtId="43" fontId="3" fillId="5" borderId="0" xfId="1" applyFont="1" applyFill="1"/>
    <xf numFmtId="166" fontId="15" fillId="5" borderId="0" xfId="0" applyNumberFormat="1" applyFont="1" applyFill="1"/>
    <xf numFmtId="168" fontId="0" fillId="0" borderId="0" xfId="0" applyNumberForma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16" fillId="0" borderId="0" xfId="0" applyFont="1"/>
    <xf numFmtId="164" fontId="0" fillId="0" borderId="0" xfId="1" applyNumberFormat="1" applyFont="1" applyFill="1"/>
    <xf numFmtId="169" fontId="0" fillId="2" borderId="0" xfId="0" applyNumberFormat="1" applyFill="1"/>
    <xf numFmtId="170" fontId="0" fillId="2" borderId="0" xfId="0" applyNumberFormat="1" applyFill="1"/>
    <xf numFmtId="169" fontId="15" fillId="5" borderId="0" xfId="0" applyNumberFormat="1" applyFont="1" applyFill="1"/>
    <xf numFmtId="166" fontId="0" fillId="0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6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3" fillId="2" borderId="0" xfId="0" applyFont="1" applyFill="1"/>
    <xf numFmtId="10" fontId="14" fillId="5" borderId="0" xfId="0" applyNumberFormat="1" applyFont="1" applyFill="1" applyBorder="1"/>
    <xf numFmtId="10" fontId="14" fillId="5" borderId="5" xfId="0" applyNumberFormat="1" applyFont="1" applyFill="1" applyBorder="1"/>
    <xf numFmtId="0" fontId="0" fillId="0" borderId="8" xfId="0" applyFont="1" applyBorder="1" applyAlignment="1">
      <alignment wrapText="1"/>
    </xf>
    <xf numFmtId="10" fontId="16" fillId="0" borderId="12" xfId="0" applyNumberFormat="1" applyFont="1" applyBorder="1"/>
    <xf numFmtId="43" fontId="0" fillId="0" borderId="0" xfId="1" applyFont="1" applyFill="1" applyBorder="1"/>
    <xf numFmtId="43" fontId="0" fillId="0" borderId="5" xfId="1" applyFont="1" applyFill="1" applyBorder="1"/>
    <xf numFmtId="43" fontId="14" fillId="5" borderId="0" xfId="1" applyFont="1" applyFill="1" applyBorder="1"/>
    <xf numFmtId="10" fontId="16" fillId="0" borderId="17" xfId="0" applyNumberFormat="1" applyFont="1" applyBorder="1"/>
    <xf numFmtId="0" fontId="0" fillId="0" borderId="5" xfId="0" applyBorder="1"/>
    <xf numFmtId="0" fontId="0" fillId="0" borderId="17" xfId="0" applyBorder="1"/>
    <xf numFmtId="43" fontId="0" fillId="5" borderId="0" xfId="1" applyFont="1" applyFill="1" applyBorder="1"/>
    <xf numFmtId="43" fontId="16" fillId="6" borderId="12" xfId="1" applyFont="1" applyFill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7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3" applyFont="1" applyFill="1" applyBorder="1" applyAlignment="1">
      <alignment wrapText="1"/>
    </xf>
    <xf numFmtId="0" fontId="0" fillId="0" borderId="4" xfId="3" applyFont="1" applyFill="1" applyBorder="1" applyAlignment="1">
      <alignment horizontal="left" wrapText="1"/>
    </xf>
    <xf numFmtId="0" fontId="14" fillId="5" borderId="4" xfId="3" applyFont="1" applyFill="1" applyBorder="1" applyAlignment="1">
      <alignment horizontal="left" wrapText="1"/>
    </xf>
    <xf numFmtId="0" fontId="16" fillId="0" borderId="16" xfId="0" applyFont="1" applyBorder="1" applyAlignment="1">
      <alignment horizontal="right" wrapText="1"/>
    </xf>
    <xf numFmtId="169" fontId="3" fillId="0" borderId="0" xfId="0" applyNumberFormat="1" applyFont="1" applyBorder="1"/>
    <xf numFmtId="43" fontId="0" fillId="0" borderId="21" xfId="1" applyFont="1" applyFill="1" applyBorder="1"/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</cellXfs>
  <cellStyles count="18">
    <cellStyle name="Comma" xfId="1" builtinId="3"/>
    <cellStyle name="Comma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zoomScale="116" zoomScaleNormal="116" zoomScalePageLayoutView="116" workbookViewId="0">
      <selection activeCell="A15" sqref="A15"/>
    </sheetView>
  </sheetViews>
  <sheetFormatPr defaultColWidth="8.88671875" defaultRowHeight="14.4" x14ac:dyDescent="0.3"/>
  <cols>
    <col min="1" max="1" width="23.44140625" style="32" customWidth="1"/>
    <col min="2" max="4" width="9.44140625" customWidth="1"/>
    <col min="5" max="5" width="9.88671875" customWidth="1"/>
    <col min="6" max="6" width="7.44140625" bestFit="1" customWidth="1"/>
    <col min="7" max="7" width="9.6640625" customWidth="1"/>
    <col min="8" max="8" width="9.109375" customWidth="1"/>
    <col min="9" max="9" width="8.44140625" customWidth="1"/>
  </cols>
  <sheetData>
    <row r="1" spans="1:9" ht="18.75" x14ac:dyDescent="0.3">
      <c r="A1" s="98" t="s">
        <v>62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/>
    <row r="3" spans="1:9" ht="15.75" thickBot="1" x14ac:dyDescent="0.3">
      <c r="A3" s="102" t="s">
        <v>55</v>
      </c>
      <c r="B3" s="103"/>
      <c r="C3" s="103"/>
      <c r="D3" s="104"/>
    </row>
    <row r="4" spans="1:9" ht="15" x14ac:dyDescent="0.25">
      <c r="A4" s="72"/>
      <c r="B4" s="27" t="s">
        <v>35</v>
      </c>
      <c r="C4" s="43" t="s">
        <v>36</v>
      </c>
      <c r="D4" s="42" t="s">
        <v>37</v>
      </c>
    </row>
    <row r="5" spans="1:9" ht="15" x14ac:dyDescent="0.25">
      <c r="A5" s="73"/>
      <c r="B5" s="16" t="s">
        <v>40</v>
      </c>
      <c r="C5" s="16" t="s">
        <v>40</v>
      </c>
      <c r="D5" s="17" t="s">
        <v>40</v>
      </c>
    </row>
    <row r="6" spans="1:9" ht="15" x14ac:dyDescent="0.25">
      <c r="A6" s="74" t="s">
        <v>13</v>
      </c>
      <c r="B6" s="44">
        <f>'SB2K-Inchcape-KI'!K2</f>
        <v>4.8672848678484197E-2</v>
      </c>
      <c r="C6" s="86">
        <f>'SB2K-NNG-KI'!K2</f>
        <v>3.0623509986690507E-2</v>
      </c>
      <c r="D6" s="45">
        <f>'SB2K-Seagreen-KI'!K2</f>
        <v>7.1863198911036819E-2</v>
      </c>
    </row>
    <row r="7" spans="1:9" ht="15" x14ac:dyDescent="0.25">
      <c r="A7" s="74" t="s">
        <v>11</v>
      </c>
      <c r="B7" s="44">
        <f>'SB2K-Inchcape-KI'!K3</f>
        <v>0.104276332305818</v>
      </c>
      <c r="C7" s="44">
        <f>'SB2K-NNG-KI'!K3</f>
        <v>0.47427640763181556</v>
      </c>
      <c r="D7" s="45">
        <f>'SB2K-Seagreen-KI'!K3</f>
        <v>4.7169306417733585E-2</v>
      </c>
    </row>
    <row r="8" spans="1:9" ht="15" x14ac:dyDescent="0.25">
      <c r="A8" s="75" t="s">
        <v>10</v>
      </c>
      <c r="B8" s="44">
        <f>'SB2K-Inchcape-KI'!K4</f>
        <v>0.2481420708635505</v>
      </c>
      <c r="C8" s="44">
        <f>'SB2K-NNG-KI'!K4</f>
        <v>7.7826777104878064E-2</v>
      </c>
      <c r="D8" s="45">
        <f>'SB2K-Seagreen-KI'!K4</f>
        <v>0.38850574230810486</v>
      </c>
    </row>
    <row r="9" spans="1:9" ht="30" x14ac:dyDescent="0.25">
      <c r="A9" s="74" t="s">
        <v>12</v>
      </c>
      <c r="B9" s="44">
        <f>'SB2K-Inchcape-KI'!K5</f>
        <v>3.1435542935520963E-2</v>
      </c>
      <c r="C9" s="44">
        <f>'SB2K-NNG-KI'!K5</f>
        <v>9.8497832266790222E-2</v>
      </c>
      <c r="D9" s="45">
        <f>'SB2K-Seagreen-KI'!K5</f>
        <v>2.4574725080133409E-2</v>
      </c>
    </row>
    <row r="10" spans="1:9" ht="15" x14ac:dyDescent="0.25">
      <c r="A10" s="76" t="s">
        <v>41</v>
      </c>
      <c r="B10" s="18">
        <f>'SB2K-Inchcape-KI'!K6</f>
        <v>0.43252679478337364</v>
      </c>
      <c r="C10" s="18">
        <f>'SB2K-NNG-KI'!K6</f>
        <v>0.68122452699017433</v>
      </c>
      <c r="D10" s="19">
        <f>'SB2K-Seagreen-KI'!K6</f>
        <v>0.53211297271700864</v>
      </c>
      <c r="I10" s="5"/>
    </row>
    <row r="11" spans="1:9" ht="15" x14ac:dyDescent="0.25">
      <c r="A11" s="77" t="s">
        <v>42</v>
      </c>
      <c r="B11" s="46">
        <f>'SB2K-Inchcape-KI'!K22</f>
        <v>0.56747320521662625</v>
      </c>
      <c r="C11" s="46">
        <f>'SB2K-NNG-KI'!K23</f>
        <v>0.31877547300982556</v>
      </c>
      <c r="D11" s="47">
        <f>'SB2K-Seagreen-KI'!K21</f>
        <v>0.46788702728299136</v>
      </c>
    </row>
    <row r="12" spans="1:9" ht="15.75" thickBot="1" x14ac:dyDescent="0.3">
      <c r="A12" s="78" t="s">
        <v>43</v>
      </c>
      <c r="B12" s="20">
        <f>B11+B10</f>
        <v>0.99999999999999989</v>
      </c>
      <c r="C12" s="20">
        <f>C11+C10</f>
        <v>0.99999999999999989</v>
      </c>
      <c r="D12" s="21">
        <f>D11+D10</f>
        <v>1</v>
      </c>
    </row>
    <row r="13" spans="1:9" ht="6" customHeight="1" thickBot="1" x14ac:dyDescent="0.3"/>
    <row r="14" spans="1:9" ht="15" x14ac:dyDescent="0.25">
      <c r="A14" s="99" t="s">
        <v>64</v>
      </c>
      <c r="B14" s="100"/>
      <c r="C14" s="100"/>
      <c r="D14" s="100"/>
      <c r="E14" s="100"/>
      <c r="F14" s="100"/>
      <c r="G14" s="101"/>
      <c r="H14" s="5"/>
    </row>
    <row r="15" spans="1:9" ht="30" x14ac:dyDescent="0.25">
      <c r="A15" s="62"/>
      <c r="B15" s="22" t="s">
        <v>35</v>
      </c>
      <c r="C15" s="22" t="s">
        <v>36</v>
      </c>
      <c r="D15" s="28" t="s">
        <v>60</v>
      </c>
      <c r="E15" s="29" t="s">
        <v>61</v>
      </c>
      <c r="F15" s="107" t="s">
        <v>44</v>
      </c>
      <c r="G15" s="108"/>
      <c r="H15" s="5"/>
    </row>
    <row r="16" spans="1:9" ht="30" x14ac:dyDescent="0.25">
      <c r="A16" s="79" t="s">
        <v>69</v>
      </c>
      <c r="B16" s="18">
        <v>266</v>
      </c>
      <c r="C16" s="18">
        <v>8</v>
      </c>
      <c r="D16" s="18">
        <v>122</v>
      </c>
      <c r="E16" s="68">
        <v>131</v>
      </c>
      <c r="F16" s="109"/>
      <c r="G16" s="110"/>
      <c r="H16" s="5"/>
    </row>
    <row r="17" spans="1:9" ht="15" x14ac:dyDescent="0.25">
      <c r="A17" s="79"/>
      <c r="B17" s="18"/>
      <c r="C17" s="18"/>
      <c r="D17" s="18"/>
      <c r="E17" s="68"/>
      <c r="F17" s="109"/>
      <c r="G17" s="110"/>
      <c r="H17" s="5"/>
    </row>
    <row r="18" spans="1:9" ht="15.75" thickBot="1" x14ac:dyDescent="0.3">
      <c r="A18" s="78"/>
      <c r="B18" s="20"/>
      <c r="C18" s="20"/>
      <c r="D18" s="20"/>
      <c r="E18" s="69"/>
      <c r="F18" s="105"/>
      <c r="G18" s="106"/>
      <c r="H18" s="5"/>
    </row>
    <row r="19" spans="1:9" ht="6" customHeight="1" thickBot="1" x14ac:dyDescent="0.3">
      <c r="A19" s="80"/>
      <c r="B19" s="23"/>
      <c r="C19" s="23"/>
      <c r="D19" s="23"/>
      <c r="E19" s="23"/>
      <c r="F19" s="24"/>
      <c r="G19" s="5"/>
      <c r="H19" s="5"/>
      <c r="I19" s="5"/>
    </row>
    <row r="20" spans="1:9" ht="30" x14ac:dyDescent="0.25">
      <c r="A20" s="88" t="s">
        <v>56</v>
      </c>
      <c r="B20" s="89"/>
      <c r="C20" s="89"/>
      <c r="D20" s="89"/>
      <c r="E20" s="89"/>
      <c r="F20" s="89"/>
      <c r="G20" s="89"/>
      <c r="H20" s="89"/>
      <c r="I20" s="89"/>
    </row>
    <row r="21" spans="1:9" ht="15" x14ac:dyDescent="0.25">
      <c r="A21" s="81"/>
      <c r="B21" s="18"/>
      <c r="C21" s="18"/>
      <c r="D21" s="18"/>
      <c r="E21" s="95" t="s">
        <v>68</v>
      </c>
      <c r="F21" s="96"/>
      <c r="G21" s="96"/>
      <c r="H21" s="96"/>
      <c r="I21" s="97"/>
    </row>
    <row r="22" spans="1:9" ht="15" x14ac:dyDescent="0.25">
      <c r="A22" s="81"/>
      <c r="B22" s="93" t="s">
        <v>45</v>
      </c>
      <c r="C22" s="93"/>
      <c r="D22" s="94"/>
      <c r="E22" s="90" t="s">
        <v>67</v>
      </c>
      <c r="F22" s="91"/>
      <c r="G22" s="91"/>
      <c r="H22" s="91"/>
      <c r="I22" s="92"/>
    </row>
    <row r="23" spans="1:9" s="32" customFormat="1" ht="30" x14ac:dyDescent="0.25">
      <c r="A23" s="62"/>
      <c r="B23" s="28" t="s">
        <v>46</v>
      </c>
      <c r="C23" s="28" t="s">
        <v>36</v>
      </c>
      <c r="D23" s="29" t="s">
        <v>37</v>
      </c>
      <c r="E23" s="30" t="s">
        <v>46</v>
      </c>
      <c r="F23" s="30" t="s">
        <v>36</v>
      </c>
      <c r="G23" s="30" t="s">
        <v>60</v>
      </c>
      <c r="H23" s="30" t="s">
        <v>61</v>
      </c>
      <c r="I23" s="31" t="s">
        <v>47</v>
      </c>
    </row>
    <row r="24" spans="1:9" ht="28.8" x14ac:dyDescent="0.3">
      <c r="A24" s="82" t="s">
        <v>48</v>
      </c>
      <c r="B24" s="26">
        <f t="shared" ref="B24:D26" si="0">B6</f>
        <v>4.8672848678484197E-2</v>
      </c>
      <c r="C24" s="26">
        <f t="shared" si="0"/>
        <v>3.0623509986690507E-2</v>
      </c>
      <c r="D24" s="25">
        <f t="shared" si="0"/>
        <v>7.1863198911036819E-2</v>
      </c>
      <c r="E24" s="64">
        <f>$B$16/1*B24</f>
        <v>12.946977748476796</v>
      </c>
      <c r="F24" s="64">
        <f>$C$16/1*C24</f>
        <v>0.24498807989352406</v>
      </c>
      <c r="G24" s="64">
        <f>$D$16/1*D24</f>
        <v>8.7673102671464918</v>
      </c>
      <c r="H24" s="64">
        <f>$E$16/1*D24</f>
        <v>9.4140790573458233</v>
      </c>
      <c r="I24" s="65">
        <f>SUM(E24:H24)</f>
        <v>31.373355152862636</v>
      </c>
    </row>
    <row r="25" spans="1:9" x14ac:dyDescent="0.3">
      <c r="A25" s="83" t="s">
        <v>50</v>
      </c>
      <c r="B25" s="26">
        <f t="shared" si="0"/>
        <v>0.104276332305818</v>
      </c>
      <c r="C25" s="26">
        <f t="shared" si="0"/>
        <v>0.47427640763181556</v>
      </c>
      <c r="D25" s="25">
        <f t="shared" si="0"/>
        <v>4.7169306417733585E-2</v>
      </c>
      <c r="E25" s="64">
        <f>$B$16/1*B25</f>
        <v>27.737504393347585</v>
      </c>
      <c r="F25" s="64">
        <f>$C$16/1*C25</f>
        <v>3.7942112610545244</v>
      </c>
      <c r="G25" s="64">
        <f t="shared" ref="G25:G28" si="1">$D$16/1*D25</f>
        <v>5.754655382963497</v>
      </c>
      <c r="H25" s="64">
        <f>$E$16/1*D25</f>
        <v>6.1791791407230994</v>
      </c>
      <c r="I25" s="65">
        <f t="shared" ref="I25:I29" si="2">SUM(E25:H25)</f>
        <v>43.465550178088705</v>
      </c>
    </row>
    <row r="26" spans="1:9" x14ac:dyDescent="0.3">
      <c r="A26" s="82" t="s">
        <v>49</v>
      </c>
      <c r="B26" s="26">
        <f t="shared" si="0"/>
        <v>0.2481420708635505</v>
      </c>
      <c r="C26" s="26">
        <f t="shared" si="0"/>
        <v>7.7826777104878064E-2</v>
      </c>
      <c r="D26" s="25">
        <f t="shared" si="0"/>
        <v>0.38850574230810486</v>
      </c>
      <c r="E26" s="64">
        <f>$B$16/1*B26</f>
        <v>66.005790849704439</v>
      </c>
      <c r="F26" s="64">
        <f>$C$16/1*C26</f>
        <v>0.62261421683902451</v>
      </c>
      <c r="G26" s="64">
        <f t="shared" si="1"/>
        <v>47.397700561588792</v>
      </c>
      <c r="H26" s="64">
        <f>$E$16/1*D26</f>
        <v>50.894252242361738</v>
      </c>
      <c r="I26" s="65">
        <f t="shared" si="2"/>
        <v>164.920357870494</v>
      </c>
    </row>
    <row r="27" spans="1:9" ht="28.8" x14ac:dyDescent="0.3">
      <c r="A27" s="83" t="s">
        <v>51</v>
      </c>
      <c r="B27" s="26">
        <f>B9</f>
        <v>3.1435542935520963E-2</v>
      </c>
      <c r="C27" s="26">
        <f>C9</f>
        <v>9.8497832266790222E-2</v>
      </c>
      <c r="D27" s="25">
        <f t="shared" ref="D27" si="3">D9</f>
        <v>2.4574725080133409E-2</v>
      </c>
      <c r="E27" s="64">
        <f>$B$16/1*B27</f>
        <v>8.3618544208485766</v>
      </c>
      <c r="F27" s="64">
        <f>$C$16/1*C27</f>
        <v>0.78798265813432178</v>
      </c>
      <c r="G27" s="64">
        <f t="shared" si="1"/>
        <v>2.9981164597762757</v>
      </c>
      <c r="H27" s="64">
        <f>$E$16/1*D27</f>
        <v>3.2192889854974767</v>
      </c>
      <c r="I27" s="65">
        <f t="shared" si="2"/>
        <v>15.36724252425665</v>
      </c>
    </row>
    <row r="28" spans="1:9" x14ac:dyDescent="0.3">
      <c r="A28" s="84" t="s">
        <v>52</v>
      </c>
      <c r="B28" s="60">
        <f>B11</f>
        <v>0.56747320521662625</v>
      </c>
      <c r="C28" s="60">
        <f t="shared" ref="C28:D28" si="4">C11</f>
        <v>0.31877547300982556</v>
      </c>
      <c r="D28" s="61">
        <f t="shared" si="4"/>
        <v>0.46788702728299136</v>
      </c>
      <c r="E28" s="66">
        <f>$B$16/1*B28</f>
        <v>150.94787258762258</v>
      </c>
      <c r="F28" s="66">
        <f>$C$16/1*C28</f>
        <v>2.5502037840786045</v>
      </c>
      <c r="G28" s="70">
        <f t="shared" si="1"/>
        <v>57.082217328524948</v>
      </c>
      <c r="H28" s="66">
        <f>$E$16/1*D28</f>
        <v>61.293200574071868</v>
      </c>
      <c r="I28" s="65">
        <f t="shared" si="2"/>
        <v>271.87349427429803</v>
      </c>
    </row>
    <row r="29" spans="1:9" ht="15" thickBot="1" x14ac:dyDescent="0.35">
      <c r="A29" s="85" t="s">
        <v>63</v>
      </c>
      <c r="B29" s="63">
        <f t="shared" ref="B29:H29" si="5">SUM(B24:B28)</f>
        <v>0.99999999999999989</v>
      </c>
      <c r="C29" s="63">
        <f t="shared" si="5"/>
        <v>0.99999999999999989</v>
      </c>
      <c r="D29" s="67">
        <f t="shared" si="5"/>
        <v>1</v>
      </c>
      <c r="E29" s="71">
        <f t="shared" si="5"/>
        <v>266</v>
      </c>
      <c r="F29" s="71">
        <f t="shared" si="5"/>
        <v>7.9999999999999991</v>
      </c>
      <c r="G29" s="71">
        <f t="shared" si="5"/>
        <v>122</v>
      </c>
      <c r="H29" s="71">
        <f t="shared" si="5"/>
        <v>131</v>
      </c>
      <c r="I29" s="87">
        <f t="shared" si="2"/>
        <v>527</v>
      </c>
    </row>
  </sheetData>
  <mergeCells count="10">
    <mergeCell ref="E22:I22"/>
    <mergeCell ref="B22:D22"/>
    <mergeCell ref="E21:I21"/>
    <mergeCell ref="A1:I1"/>
    <mergeCell ref="A14:G14"/>
    <mergeCell ref="A3:D3"/>
    <mergeCell ref="F18:G18"/>
    <mergeCell ref="F15:G15"/>
    <mergeCell ref="F16:G16"/>
    <mergeCell ref="F17:G17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2" activePane="bottomLeft" state="frozen"/>
      <selection pane="bottomLeft" activeCell="A20" sqref="A20"/>
    </sheetView>
  </sheetViews>
  <sheetFormatPr defaultColWidth="8.886718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4" max="4" width="10.44140625" bestFit="1" customWidth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22964</v>
      </c>
      <c r="C2">
        <v>96.02</v>
      </c>
      <c r="D2" s="33">
        <f>C2*C2</f>
        <v>9219.8403999999991</v>
      </c>
      <c r="E2">
        <v>0.71899999999999997</v>
      </c>
      <c r="F2">
        <f>B2/$B$23</f>
        <v>0.22935559905716912</v>
      </c>
      <c r="G2" s="8">
        <f>$D$23/D2</f>
        <v>6.1588444741407899</v>
      </c>
      <c r="H2">
        <f>E2/$E$23</f>
        <v>7.4724589482436085E-2</v>
      </c>
      <c r="I2">
        <v>2001</v>
      </c>
      <c r="J2" s="8">
        <f>F2*G2*H2</f>
        <v>0.10555337440449086</v>
      </c>
      <c r="K2" s="4">
        <f>J2/$J$23</f>
        <v>4.8672848678484197E-2</v>
      </c>
    </row>
    <row r="3" spans="1:11" ht="15" x14ac:dyDescent="0.2">
      <c r="A3" s="3" t="s">
        <v>11</v>
      </c>
      <c r="B3" s="7">
        <v>9326</v>
      </c>
      <c r="C3">
        <v>33.22</v>
      </c>
      <c r="D3" s="33">
        <f>C3*C3</f>
        <v>1103.5683999999999</v>
      </c>
      <c r="E3">
        <v>0.45400000000000001</v>
      </c>
      <c r="F3">
        <f>B3/$B$23</f>
        <v>9.3144500818984455E-2</v>
      </c>
      <c r="G3">
        <f>$D$23/D3</f>
        <v>51.454502593586419</v>
      </c>
      <c r="H3">
        <f>E3/$E$23</f>
        <v>4.7183537726044486E-2</v>
      </c>
      <c r="I3">
        <v>2001</v>
      </c>
      <c r="J3">
        <f>F3*G3*H3</f>
        <v>0.22613672805776469</v>
      </c>
      <c r="K3" s="4">
        <f>J3/$J$23</f>
        <v>0.104276332305818</v>
      </c>
    </row>
    <row r="4" spans="1:11" ht="15" x14ac:dyDescent="0.2">
      <c r="A4" s="3" t="s">
        <v>10</v>
      </c>
      <c r="B4" s="7">
        <v>19330</v>
      </c>
      <c r="C4">
        <v>34</v>
      </c>
      <c r="D4" s="33">
        <f>C4*C4</f>
        <v>1156</v>
      </c>
      <c r="E4">
        <v>0.54600000000000004</v>
      </c>
      <c r="F4">
        <f>B4/$B$23</f>
        <v>0.19306060484998602</v>
      </c>
      <c r="G4">
        <f>$D$23/D4</f>
        <v>49.120729325259518</v>
      </c>
      <c r="H4">
        <f>E4/$E$23</f>
        <v>5.6744959467886102E-2</v>
      </c>
      <c r="I4">
        <v>2000</v>
      </c>
      <c r="J4">
        <f>F4*G4*H4</f>
        <v>0.53812820951538654</v>
      </c>
      <c r="K4" s="4">
        <f>J4/$J$23</f>
        <v>0.2481420708635505</v>
      </c>
    </row>
    <row r="5" spans="1:11" ht="15" x14ac:dyDescent="0.2">
      <c r="A5" s="3" t="s">
        <v>12</v>
      </c>
      <c r="B5" s="7">
        <v>6668</v>
      </c>
      <c r="C5">
        <v>56.31</v>
      </c>
      <c r="D5" s="33">
        <f>C5*C5</f>
        <v>3170.8161000000005</v>
      </c>
      <c r="E5">
        <v>0.55000000000000004</v>
      </c>
      <c r="F5">
        <f>B5/$B$23</f>
        <v>6.6597419200191757E-2</v>
      </c>
      <c r="G5">
        <f>$D$23/D5</f>
        <v>17.908185561439531</v>
      </c>
      <c r="H5">
        <f>E5/$E$23</f>
        <v>5.7160673456661822E-2</v>
      </c>
      <c r="I5">
        <v>2000</v>
      </c>
      <c r="J5">
        <f>F5*G5*H5</f>
        <v>6.8172045055342495E-2</v>
      </c>
      <c r="K5" s="4">
        <f>J5/$J$23</f>
        <v>3.1435542935520963E-2</v>
      </c>
    </row>
    <row r="6" spans="1:11" ht="15" x14ac:dyDescent="0.2">
      <c r="A6" s="34" t="s">
        <v>38</v>
      </c>
      <c r="B6" s="35">
        <f>SUM(B2:B5)</f>
        <v>58288</v>
      </c>
      <c r="C6" s="34"/>
      <c r="D6" s="36"/>
      <c r="E6" s="34"/>
      <c r="F6" s="34"/>
      <c r="G6" s="34"/>
      <c r="H6" s="34"/>
      <c r="I6" s="34"/>
      <c r="J6" s="34"/>
      <c r="K6" s="34">
        <f>SUM(K2:K5)</f>
        <v>0.43252679478337364</v>
      </c>
    </row>
    <row r="7" spans="1:11" ht="15" x14ac:dyDescent="0.2">
      <c r="A7" s="5" t="s">
        <v>14</v>
      </c>
      <c r="B7" s="7">
        <f>(1060*2)+(467*2)</f>
        <v>3054</v>
      </c>
      <c r="C7">
        <v>70.56</v>
      </c>
      <c r="D7" s="33">
        <f t="shared" ref="D7:D21" si="0">C7*C7</f>
        <v>4978.7136</v>
      </c>
      <c r="E7">
        <v>0.56499999999999995</v>
      </c>
      <c r="F7">
        <f t="shared" ref="F7:F21" si="1">B7/$B$23</f>
        <v>3.0502177300147818E-2</v>
      </c>
      <c r="G7">
        <f t="shared" ref="G7:G21" si="2">$D$23/D7</f>
        <v>11.405268039519285</v>
      </c>
      <c r="H7">
        <f t="shared" ref="H7:H21" si="3">E7/$E$23</f>
        <v>5.871960091457077E-2</v>
      </c>
      <c r="I7">
        <v>2000</v>
      </c>
      <c r="J7">
        <f t="shared" ref="J7:J21" si="4">F7*G7*H7</f>
        <v>2.0427698187682027E-2</v>
      </c>
      <c r="K7" s="57">
        <f t="shared" ref="K7:K21" si="5">J7/$J$23</f>
        <v>9.4196350268124715E-3</v>
      </c>
    </row>
    <row r="8" spans="1:11" ht="15" x14ac:dyDescent="0.2">
      <c r="A8" s="5" t="s">
        <v>15</v>
      </c>
      <c r="B8" s="7">
        <f>450*2</f>
        <v>900</v>
      </c>
      <c r="C8">
        <v>49.14</v>
      </c>
      <c r="D8" s="33">
        <f t="shared" si="0"/>
        <v>2414.7395999999999</v>
      </c>
      <c r="E8">
        <v>0.55400000000000005</v>
      </c>
      <c r="F8">
        <f t="shared" si="1"/>
        <v>8.9888538212616349E-3</v>
      </c>
      <c r="G8">
        <f t="shared" si="2"/>
        <v>23.515398140652518</v>
      </c>
      <c r="H8">
        <f t="shared" si="3"/>
        <v>5.7576387445437548E-2</v>
      </c>
      <c r="I8">
        <v>1999</v>
      </c>
      <c r="J8">
        <f t="shared" si="4"/>
        <v>1.2170293904078321E-2</v>
      </c>
      <c r="K8" s="58">
        <f>J8/$J$23</f>
        <v>5.6119747654479555E-3</v>
      </c>
    </row>
    <row r="9" spans="1:11" ht="15" x14ac:dyDescent="0.2">
      <c r="A9" s="5" t="s">
        <v>16</v>
      </c>
      <c r="B9" s="7">
        <f>(148*2)+(15*2)+(199*2)+(20*2)+(15*2)+(337*2)+(50*2)+(134*2)+(28*2)+(281*2)+(72*2)+(718*2)+(841*2)+(84*2)+(10*2)+(116*2)</f>
        <v>6136</v>
      </c>
      <c r="C9">
        <v>30.36</v>
      </c>
      <c r="D9" s="33">
        <f t="shared" si="0"/>
        <v>921.7296</v>
      </c>
      <c r="E9">
        <v>0.52900000000000003</v>
      </c>
      <c r="F9">
        <f t="shared" si="1"/>
        <v>6.1284007830290442E-2</v>
      </c>
      <c r="G9">
        <f t="shared" si="2"/>
        <v>61.605446000649223</v>
      </c>
      <c r="H9">
        <f t="shared" si="3"/>
        <v>5.4978175015589277E-2</v>
      </c>
      <c r="I9">
        <v>1999</v>
      </c>
      <c r="J9">
        <f t="shared" si="4"/>
        <v>0.20756617625897303</v>
      </c>
      <c r="K9" s="57">
        <f t="shared" si="5"/>
        <v>9.5713065970866193E-2</v>
      </c>
    </row>
    <row r="10" spans="1:11" ht="15" x14ac:dyDescent="0.2">
      <c r="A10" s="5" t="s">
        <v>17</v>
      </c>
      <c r="B10" s="49">
        <f>1060*2</f>
        <v>2120</v>
      </c>
      <c r="C10">
        <v>49.91</v>
      </c>
      <c r="D10" s="33">
        <f t="shared" si="0"/>
        <v>2491.0080999999996</v>
      </c>
      <c r="E10">
        <v>0.42599999999999999</v>
      </c>
      <c r="F10">
        <f t="shared" si="1"/>
        <v>2.117374455674963E-2</v>
      </c>
      <c r="G10">
        <f t="shared" si="2"/>
        <v>22.795414876410888</v>
      </c>
      <c r="H10">
        <f t="shared" si="3"/>
        <v>4.4273539804614424E-2</v>
      </c>
      <c r="I10">
        <v>2000</v>
      </c>
      <c r="J10">
        <f t="shared" si="4"/>
        <v>2.1369256728997761E-2</v>
      </c>
      <c r="K10" s="57">
        <f t="shared" si="5"/>
        <v>9.8538071853242065E-3</v>
      </c>
    </row>
    <row r="11" spans="1:11" ht="15" x14ac:dyDescent="0.2">
      <c r="A11" s="5" t="s">
        <v>18</v>
      </c>
      <c r="B11" s="7">
        <f>(154*2)+(430*2)+(420*2)+(503*2)+(570*2)+(212*2)+(227*2)</f>
        <v>5032</v>
      </c>
      <c r="C11">
        <v>62.84</v>
      </c>
      <c r="D11" s="33">
        <f t="shared" si="0"/>
        <v>3948.8656000000005</v>
      </c>
      <c r="E11">
        <v>0.56799999999999995</v>
      </c>
      <c r="F11">
        <f t="shared" si="1"/>
        <v>5.0257680476209501E-2</v>
      </c>
      <c r="G11">
        <f t="shared" si="2"/>
        <v>14.379715303554519</v>
      </c>
      <c r="H11">
        <f t="shared" si="3"/>
        <v>5.9031386406152561E-2</v>
      </c>
      <c r="I11">
        <v>2000</v>
      </c>
      <c r="J11">
        <f t="shared" si="4"/>
        <v>4.2661459764380051E-2</v>
      </c>
      <c r="K11" s="57">
        <f t="shared" si="5"/>
        <v>1.967208331547729E-2</v>
      </c>
    </row>
    <row r="12" spans="1:11" ht="15" x14ac:dyDescent="0.2">
      <c r="A12" s="5" t="s">
        <v>19</v>
      </c>
      <c r="B12" s="7">
        <f>(45*2)+(300*2)+(497*2)+(300*2)</f>
        <v>2284</v>
      </c>
      <c r="C12">
        <v>53.41</v>
      </c>
      <c r="D12" s="33">
        <f t="shared" si="0"/>
        <v>2852.6280999999994</v>
      </c>
      <c r="E12">
        <v>0.56999999999999995</v>
      </c>
      <c r="F12">
        <f t="shared" si="1"/>
        <v>2.2811713475290641E-2</v>
      </c>
      <c r="G12">
        <f t="shared" si="2"/>
        <v>19.905701377617369</v>
      </c>
      <c r="H12">
        <f t="shared" si="3"/>
        <v>5.9239243400540424E-2</v>
      </c>
      <c r="I12">
        <v>1999</v>
      </c>
      <c r="J12">
        <f t="shared" si="4"/>
        <v>2.6899542623156952E-2</v>
      </c>
      <c r="K12" s="57">
        <f t="shared" si="5"/>
        <v>1.2403936633992156E-2</v>
      </c>
    </row>
    <row r="13" spans="1:11" ht="15" x14ac:dyDescent="0.2">
      <c r="A13" s="5" t="s">
        <v>20</v>
      </c>
      <c r="B13" s="7">
        <f>(185*2)+(1128*2)+(82*2)</f>
        <v>2790</v>
      </c>
      <c r="C13">
        <v>57.85</v>
      </c>
      <c r="D13" s="33">
        <f t="shared" si="0"/>
        <v>3346.6224999999999</v>
      </c>
      <c r="E13">
        <v>0.58199999999999996</v>
      </c>
      <c r="F13">
        <f t="shared" si="1"/>
        <v>2.7865446845911069E-2</v>
      </c>
      <c r="G13">
        <f t="shared" si="2"/>
        <v>16.967424052160052</v>
      </c>
      <c r="H13">
        <f t="shared" si="3"/>
        <v>6.0486385366867589E-2</v>
      </c>
      <c r="I13">
        <v>1999</v>
      </c>
      <c r="J13">
        <f t="shared" si="4"/>
        <v>2.8598256544151355E-2</v>
      </c>
      <c r="K13" s="57">
        <f t="shared" si="5"/>
        <v>1.3187248831172633E-2</v>
      </c>
    </row>
    <row r="14" spans="1:11" ht="15" x14ac:dyDescent="0.2">
      <c r="A14" s="5" t="s">
        <v>21</v>
      </c>
      <c r="B14" s="7">
        <v>232</v>
      </c>
      <c r="C14">
        <v>79.540000000000006</v>
      </c>
      <c r="D14" s="33">
        <f t="shared" si="0"/>
        <v>6326.6116000000011</v>
      </c>
      <c r="E14">
        <v>0.16800000000000001</v>
      </c>
      <c r="F14">
        <f t="shared" si="1"/>
        <v>2.3171267628141106E-3</v>
      </c>
      <c r="G14">
        <f t="shared" si="2"/>
        <v>8.9753515294031949</v>
      </c>
      <c r="H14">
        <f t="shared" si="3"/>
        <v>1.7459987528580339E-2</v>
      </c>
      <c r="I14">
        <v>1999</v>
      </c>
      <c r="J14">
        <f t="shared" si="4"/>
        <v>3.6311583614495016E-4</v>
      </c>
      <c r="K14" s="57">
        <f t="shared" si="5"/>
        <v>1.6744023812745556E-4</v>
      </c>
    </row>
    <row r="15" spans="1:11" ht="15" x14ac:dyDescent="0.2">
      <c r="A15" s="5" t="s">
        <v>22</v>
      </c>
      <c r="B15" s="7">
        <v>698</v>
      </c>
      <c r="C15">
        <v>70.86</v>
      </c>
      <c r="D15" s="33">
        <f t="shared" si="0"/>
        <v>5021.1395999999995</v>
      </c>
      <c r="E15">
        <v>0.215</v>
      </c>
      <c r="F15">
        <f t="shared" si="1"/>
        <v>6.971355519156246E-3</v>
      </c>
      <c r="G15">
        <f t="shared" si="2"/>
        <v>11.308899497635958</v>
      </c>
      <c r="H15">
        <f t="shared" si="3"/>
        <v>2.2344626896695075E-2</v>
      </c>
      <c r="I15">
        <v>1999</v>
      </c>
      <c r="J15">
        <f t="shared" si="4"/>
        <v>1.7616137154034468E-3</v>
      </c>
      <c r="K15" s="57">
        <f t="shared" si="5"/>
        <v>8.1231659606825692E-4</v>
      </c>
    </row>
    <row r="16" spans="1:11" ht="15" x14ac:dyDescent="0.2">
      <c r="A16" s="5" t="s">
        <v>23</v>
      </c>
      <c r="B16" s="7">
        <f>384*2</f>
        <v>768</v>
      </c>
      <c r="C16">
        <v>17.8</v>
      </c>
      <c r="D16" s="33">
        <f t="shared" si="0"/>
        <v>316.84000000000003</v>
      </c>
      <c r="E16">
        <v>0.495</v>
      </c>
      <c r="F16">
        <f t="shared" si="1"/>
        <v>7.670488594143262E-3</v>
      </c>
      <c r="G16">
        <f t="shared" si="2"/>
        <v>179.21841655094053</v>
      </c>
      <c r="H16">
        <f t="shared" si="3"/>
        <v>5.1444606110995633E-2</v>
      </c>
      <c r="I16">
        <v>2000</v>
      </c>
      <c r="J16">
        <f t="shared" si="4"/>
        <v>7.072053064925489E-2</v>
      </c>
      <c r="K16" s="57">
        <f t="shared" si="5"/>
        <v>3.2610702463784398E-2</v>
      </c>
    </row>
    <row r="17" spans="1:11" ht="15" x14ac:dyDescent="0.2">
      <c r="A17" s="5" t="s">
        <v>24</v>
      </c>
      <c r="B17" s="7">
        <f>8*2</f>
        <v>16</v>
      </c>
      <c r="C17">
        <v>45.6</v>
      </c>
      <c r="D17" s="33">
        <f t="shared" si="0"/>
        <v>2079.36</v>
      </c>
      <c r="E17">
        <v>0.54500000000000004</v>
      </c>
      <c r="F17">
        <f t="shared" si="1"/>
        <v>1.5980184571131798E-4</v>
      </c>
      <c r="G17">
        <f t="shared" si="2"/>
        <v>27.308192472683903</v>
      </c>
      <c r="H17">
        <f t="shared" si="3"/>
        <v>5.6641030970692167E-2</v>
      </c>
      <c r="I17">
        <v>2002</v>
      </c>
      <c r="J17">
        <f t="shared" si="4"/>
        <v>2.4717577014085119E-4</v>
      </c>
      <c r="K17" s="57">
        <f t="shared" si="5"/>
        <v>1.1397787067375444E-4</v>
      </c>
    </row>
    <row r="18" spans="1:11" ht="15" x14ac:dyDescent="0.2">
      <c r="A18" s="5" t="s">
        <v>25</v>
      </c>
      <c r="B18" s="7">
        <f>(234*2)+(554*2)</f>
        <v>1576</v>
      </c>
      <c r="C18">
        <v>47.94</v>
      </c>
      <c r="D18" s="33">
        <f t="shared" si="0"/>
        <v>2298.2435999999998</v>
      </c>
      <c r="E18">
        <v>0.54900000000000004</v>
      </c>
      <c r="F18">
        <f t="shared" si="1"/>
        <v>1.5740481802564821E-2</v>
      </c>
      <c r="G18">
        <f t="shared" si="2"/>
        <v>24.707373535163988</v>
      </c>
      <c r="H18">
        <f t="shared" si="3"/>
        <v>5.7056744959467894E-2</v>
      </c>
      <c r="I18">
        <v>1999</v>
      </c>
      <c r="J18">
        <f t="shared" si="4"/>
        <v>2.2189708373743695E-2</v>
      </c>
      <c r="K18" s="57">
        <f t="shared" si="5"/>
        <v>1.023213444371864E-2</v>
      </c>
    </row>
    <row r="19" spans="1:11" ht="15" x14ac:dyDescent="0.2">
      <c r="A19" s="5" t="s">
        <v>26</v>
      </c>
      <c r="B19" s="49">
        <f>1*2</f>
        <v>2</v>
      </c>
      <c r="C19">
        <v>58.09</v>
      </c>
      <c r="D19" s="33">
        <f t="shared" si="0"/>
        <v>3374.4481000000005</v>
      </c>
      <c r="E19">
        <v>0.56299999999999994</v>
      </c>
      <c r="F19">
        <f t="shared" si="1"/>
        <v>1.9975230713914747E-5</v>
      </c>
      <c r="G19">
        <f t="shared" si="2"/>
        <v>16.827511171382366</v>
      </c>
      <c r="H19">
        <f t="shared" si="3"/>
        <v>5.8511743920182907E-2</v>
      </c>
      <c r="I19">
        <v>2000</v>
      </c>
      <c r="J19">
        <f t="shared" si="4"/>
        <v>1.9667752476408094E-5</v>
      </c>
      <c r="K19" s="57">
        <f t="shared" si="5"/>
        <v>9.06920830841165E-6</v>
      </c>
    </row>
    <row r="20" spans="1:11" ht="15" x14ac:dyDescent="0.2">
      <c r="A20" s="5" t="s">
        <v>27</v>
      </c>
      <c r="B20" s="49">
        <f>(493*2)+(405*2)+(3098*2)+(1810*2)</f>
        <v>11612</v>
      </c>
      <c r="C20">
        <v>38.89</v>
      </c>
      <c r="D20" s="33">
        <f t="shared" si="0"/>
        <v>1512.4321</v>
      </c>
      <c r="E20">
        <v>0.53300000000000003</v>
      </c>
      <c r="F20">
        <f t="shared" si="1"/>
        <v>0.11597618952498902</v>
      </c>
      <c r="G20">
        <f t="shared" si="2"/>
        <v>37.544537106822851</v>
      </c>
      <c r="H20">
        <f t="shared" si="3"/>
        <v>5.5393889004365003E-2</v>
      </c>
      <c r="I20">
        <v>1999</v>
      </c>
      <c r="J20">
        <f t="shared" si="4"/>
        <v>0.24120007931320805</v>
      </c>
      <c r="K20" s="57">
        <f t="shared" si="5"/>
        <v>0.11122235577861998</v>
      </c>
    </row>
    <row r="21" spans="1:11" ht="15" x14ac:dyDescent="0.2">
      <c r="A21" s="5" t="s">
        <v>28</v>
      </c>
      <c r="B21" s="49">
        <f>2308*2</f>
        <v>4616</v>
      </c>
      <c r="C21">
        <v>15.81</v>
      </c>
      <c r="D21" s="33">
        <f t="shared" si="0"/>
        <v>249.95610000000002</v>
      </c>
      <c r="E21">
        <v>0.49099999999999999</v>
      </c>
      <c r="F21">
        <f t="shared" si="1"/>
        <v>4.6102832487715233E-2</v>
      </c>
      <c r="G21">
        <f t="shared" si="2"/>
        <v>227.17414417971796</v>
      </c>
      <c r="H21">
        <f t="shared" si="3"/>
        <v>5.1028892122219914E-2</v>
      </c>
      <c r="I21">
        <v>2000</v>
      </c>
      <c r="J21">
        <f t="shared" si="4"/>
        <v>0.53444454517739393</v>
      </c>
      <c r="K21" s="57">
        <f t="shared" si="5"/>
        <v>0.24644345688823249</v>
      </c>
    </row>
    <row r="22" spans="1:11" ht="15" x14ac:dyDescent="0.2">
      <c r="A22" s="37" t="s">
        <v>39</v>
      </c>
      <c r="B22" s="38">
        <f>SUM(B7:B21)</f>
        <v>41836</v>
      </c>
      <c r="C22" s="37"/>
      <c r="D22" s="39"/>
      <c r="E22" s="37"/>
      <c r="F22" s="37"/>
      <c r="G22" s="37"/>
      <c r="H22" s="37"/>
      <c r="I22" s="37"/>
      <c r="J22" s="37"/>
      <c r="K22" s="59">
        <f>SUM(K7:K21)</f>
        <v>0.56747320521662625</v>
      </c>
    </row>
    <row r="23" spans="1:11" ht="15" x14ac:dyDescent="0.2">
      <c r="A23" s="14" t="s">
        <v>29</v>
      </c>
      <c r="B23" s="7">
        <f>SUM(B6,B22)</f>
        <v>100124</v>
      </c>
      <c r="C23">
        <f>SUM(C2:C5,C7:C21)</f>
        <v>968.14999999999986</v>
      </c>
      <c r="D23">
        <f t="shared" ref="D23:H23" si="6">SUM(D2:D5,D7:D21)</f>
        <v>56783.563100000007</v>
      </c>
      <c r="E23">
        <f t="shared" si="6"/>
        <v>9.6219999999999999</v>
      </c>
      <c r="F23">
        <f t="shared" si="6"/>
        <v>1</v>
      </c>
      <c r="G23">
        <f t="shared" si="6"/>
        <v>828.28105578874101</v>
      </c>
      <c r="H23">
        <f t="shared" si="6"/>
        <v>1</v>
      </c>
      <c r="J23" s="8">
        <f>SUM(J2:J5,J7:J21)</f>
        <v>2.1686294776321704</v>
      </c>
      <c r="K23" s="15">
        <f>SUM(K6,K22)</f>
        <v>0.99999999999999989</v>
      </c>
    </row>
    <row r="25" spans="1:11" ht="15" x14ac:dyDescent="0.2">
      <c r="A25" s="6"/>
    </row>
    <row r="26" spans="1:11" ht="15" x14ac:dyDescent="0.2">
      <c r="A26" s="48" t="s">
        <v>59</v>
      </c>
    </row>
    <row r="27" spans="1:11" ht="15" x14ac:dyDescent="0.2">
      <c r="A27" t="s">
        <v>57</v>
      </c>
    </row>
    <row r="28" spans="1:11" ht="15" x14ac:dyDescent="0.25">
      <c r="A28" t="s">
        <v>58</v>
      </c>
    </row>
    <row r="31" spans="1:11" ht="15" x14ac:dyDescent="0.25">
      <c r="A31" t="s">
        <v>66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pane ySplit="1" topLeftCell="A2" activePane="bottomLeft" state="frozen"/>
      <selection pane="bottomLeft" activeCell="B22" sqref="B22"/>
    </sheetView>
  </sheetViews>
  <sheetFormatPr defaultColWidth="8.88671875" defaultRowHeight="14.4" x14ac:dyDescent="0.3"/>
  <cols>
    <col min="1" max="1" width="30.6640625" bestFit="1" customWidth="1"/>
    <col min="2" max="2" width="11.88671875" customWidth="1"/>
    <col min="3" max="3" width="11.44140625" customWidth="1"/>
    <col min="4" max="4" width="12" customWidth="1"/>
    <col min="5" max="6" width="9.109375" customWidth="1"/>
    <col min="7" max="8" width="10" customWidth="1"/>
    <col min="9" max="9" width="9.109375" customWidth="1"/>
    <col min="10" max="10" width="11.44140625" customWidth="1"/>
    <col min="11" max="11" width="9.109375" customWidth="1"/>
    <col min="12" max="12" width="4" customWidth="1"/>
    <col min="13" max="13" width="30.6640625" bestFit="1" customWidth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22964</v>
      </c>
      <c r="C2">
        <v>125.12</v>
      </c>
      <c r="D2">
        <f>C2*C2</f>
        <v>15655.014400000002</v>
      </c>
      <c r="E2">
        <v>0.71899999999999997</v>
      </c>
      <c r="F2">
        <f>B2/$B$24</f>
        <v>0.21238970792253195</v>
      </c>
      <c r="G2">
        <f>$D$24/D2</f>
        <v>5.1235477432713186</v>
      </c>
      <c r="H2">
        <f>E2/$E$24</f>
        <v>4.2336454101159993E-2</v>
      </c>
      <c r="I2">
        <v>2001</v>
      </c>
      <c r="J2">
        <f>F2*G2*H2</f>
        <v>4.6070055553793246E-2</v>
      </c>
      <c r="K2" s="50">
        <f>J2/$J$24</f>
        <v>3.0623509986690507E-2</v>
      </c>
    </row>
    <row r="3" spans="1:11" ht="15" x14ac:dyDescent="0.2">
      <c r="A3" s="3" t="s">
        <v>11</v>
      </c>
      <c r="B3" s="7">
        <v>9326</v>
      </c>
      <c r="C3">
        <v>16.100000000000001</v>
      </c>
      <c r="D3">
        <f>C3*C3</f>
        <v>259.21000000000004</v>
      </c>
      <c r="E3">
        <v>0.45400000000000001</v>
      </c>
      <c r="F3">
        <f>B3/$B$24</f>
        <v>8.6254416307504481E-2</v>
      </c>
      <c r="G3">
        <f>$D$24/D3</f>
        <v>309.43718876586553</v>
      </c>
      <c r="H3">
        <f>E3/$E$24</f>
        <v>2.6732614967909091E-2</v>
      </c>
      <c r="I3">
        <v>2001</v>
      </c>
      <c r="J3">
        <f>F3*G3*H3</f>
        <v>0.71350215755632151</v>
      </c>
      <c r="K3" s="4">
        <f>J3/$J$24</f>
        <v>0.47427640763181556</v>
      </c>
    </row>
    <row r="4" spans="1:11" ht="15" x14ac:dyDescent="0.2">
      <c r="A4" s="3" t="s">
        <v>10</v>
      </c>
      <c r="B4" s="7">
        <v>19330</v>
      </c>
      <c r="C4">
        <v>62.75</v>
      </c>
      <c r="D4">
        <f>C4*C4</f>
        <v>3937.5625</v>
      </c>
      <c r="E4">
        <v>0.54600000000000004</v>
      </c>
      <c r="F4">
        <f>B4/$B$24</f>
        <v>0.17877952683080225</v>
      </c>
      <c r="G4">
        <f>$D$24/D4</f>
        <v>20.370270617926703</v>
      </c>
      <c r="H4">
        <f>E4/$E$24</f>
        <v>3.2149796855679216E-2</v>
      </c>
      <c r="I4">
        <v>2000</v>
      </c>
      <c r="J4">
        <f>F4*G4*H4</f>
        <v>0.11708272325258368</v>
      </c>
      <c r="K4" s="51">
        <f>J4/$J$24</f>
        <v>7.7826777104878064E-2</v>
      </c>
    </row>
    <row r="5" spans="1:11" ht="15" x14ac:dyDescent="0.2">
      <c r="A5" s="3" t="s">
        <v>12</v>
      </c>
      <c r="B5" s="7">
        <v>6668</v>
      </c>
      <c r="C5">
        <v>32.880000000000003</v>
      </c>
      <c r="D5">
        <f>C5*C5</f>
        <v>1081.0944000000002</v>
      </c>
      <c r="E5">
        <v>0.55000000000000004</v>
      </c>
      <c r="F5">
        <f>B5/$B$24</f>
        <v>6.1671075266828211E-2</v>
      </c>
      <c r="G5">
        <f>$D$24/D5</f>
        <v>74.192608619561796</v>
      </c>
      <c r="H5">
        <f>E5/$E$24</f>
        <v>3.2385326502973572E-2</v>
      </c>
      <c r="I5">
        <v>2000</v>
      </c>
      <c r="J5">
        <f>F5*G5*H5</f>
        <v>0.14818029045107628</v>
      </c>
      <c r="K5" s="50">
        <f>J5/$J$24</f>
        <v>9.8497832266790222E-2</v>
      </c>
    </row>
    <row r="6" spans="1:11" ht="15" x14ac:dyDescent="0.2">
      <c r="A6" s="34" t="s">
        <v>54</v>
      </c>
      <c r="B6" s="35">
        <f>SUM(B2:B5)</f>
        <v>58288</v>
      </c>
      <c r="C6" s="34"/>
      <c r="D6" s="34"/>
      <c r="E6" s="34"/>
      <c r="F6" s="34"/>
      <c r="G6" s="34"/>
      <c r="H6" s="34"/>
      <c r="I6" s="34"/>
      <c r="J6" s="34"/>
      <c r="K6" s="52">
        <f>SUM(K2:K5)</f>
        <v>0.68122452699017433</v>
      </c>
    </row>
    <row r="7" spans="1:11" ht="15" x14ac:dyDescent="0.2">
      <c r="A7" s="5" t="s">
        <v>14</v>
      </c>
      <c r="B7" s="7">
        <f>(1060*2)+(467*2)</f>
        <v>3054</v>
      </c>
      <c r="C7">
        <v>47.64</v>
      </c>
      <c r="D7">
        <f t="shared" ref="D7:D22" si="0">C7*C7</f>
        <v>2269.5696000000003</v>
      </c>
      <c r="E7">
        <v>0.56499999999999995</v>
      </c>
      <c r="F7">
        <f t="shared" ref="F7:F22" si="1">B7/$B$24</f>
        <v>2.8245870405652875E-2</v>
      </c>
      <c r="G7">
        <f t="shared" ref="G7:G22" si="2">$D$24/D7</f>
        <v>35.341156182211819</v>
      </c>
      <c r="H7">
        <f t="shared" ref="H7:H22" si="3">E7/$E$24</f>
        <v>3.3268562680327386E-2</v>
      </c>
      <c r="I7">
        <v>2000</v>
      </c>
      <c r="J7">
        <f t="shared" ref="J7:J22" si="4">F7*G7*H7</f>
        <v>3.3210067149055618E-2</v>
      </c>
      <c r="K7" s="56">
        <f t="shared" ref="K7:K21" si="5">J7/$J$24</f>
        <v>2.2075267997241001E-2</v>
      </c>
    </row>
    <row r="8" spans="1:11" ht="15" x14ac:dyDescent="0.2">
      <c r="A8" s="5" t="s">
        <v>15</v>
      </c>
      <c r="B8" s="7">
        <f>450*2</f>
        <v>900</v>
      </c>
      <c r="C8">
        <v>78.08</v>
      </c>
      <c r="D8">
        <f t="shared" si="0"/>
        <v>6096.4863999999998</v>
      </c>
      <c r="E8">
        <v>0.55400000000000005</v>
      </c>
      <c r="F8">
        <f t="shared" si="1"/>
        <v>8.3239303749468186E-3</v>
      </c>
      <c r="G8">
        <f t="shared" si="2"/>
        <v>13.156629644904974</v>
      </c>
      <c r="H8">
        <f t="shared" si="3"/>
        <v>3.2620856150267927E-2</v>
      </c>
      <c r="I8">
        <v>1999</v>
      </c>
      <c r="J8">
        <f t="shared" si="4"/>
        <v>3.5724687923079129E-3</v>
      </c>
      <c r="K8" s="57">
        <f t="shared" si="5"/>
        <v>2.3746777038425736E-3</v>
      </c>
    </row>
    <row r="9" spans="1:11" ht="15" x14ac:dyDescent="0.2">
      <c r="A9" s="5" t="s">
        <v>16</v>
      </c>
      <c r="B9" s="7">
        <f>(148*2)+(15*2)+(199*2)+(20*2)+(15*2)+(337*2)+(50*2)+(134*2)+(28*2)+(281*2)+(72*2)+(718*2)+(841*2)+(84*2)+(10*2)+(116*2)</f>
        <v>6136</v>
      </c>
      <c r="C9">
        <v>58.66</v>
      </c>
      <c r="D9">
        <f t="shared" si="0"/>
        <v>3440.9955999999997</v>
      </c>
      <c r="E9">
        <v>0.52900000000000003</v>
      </c>
      <c r="F9">
        <f t="shared" si="1"/>
        <v>5.6750707534081873E-2</v>
      </c>
      <c r="G9">
        <f t="shared" si="2"/>
        <v>23.309885574977198</v>
      </c>
      <c r="H9">
        <f t="shared" si="3"/>
        <v>3.1148795854678214E-2</v>
      </c>
      <c r="I9">
        <v>1999</v>
      </c>
      <c r="J9">
        <f t="shared" si="4"/>
        <v>4.120526243466157E-2</v>
      </c>
      <c r="K9" s="57">
        <f t="shared" si="5"/>
        <v>2.7389803430965594E-2</v>
      </c>
    </row>
    <row r="10" spans="1:11" ht="15" x14ac:dyDescent="0.2">
      <c r="A10" s="5" t="s">
        <v>17</v>
      </c>
      <c r="B10" s="49">
        <f>1060*2</f>
        <v>2120</v>
      </c>
      <c r="C10">
        <v>27.9</v>
      </c>
      <c r="D10">
        <f t="shared" si="0"/>
        <v>778.41</v>
      </c>
      <c r="E10">
        <v>0.42599999999999999</v>
      </c>
      <c r="F10">
        <f t="shared" si="1"/>
        <v>1.9607480438763619E-2</v>
      </c>
      <c r="G10">
        <f t="shared" si="2"/>
        <v>103.04237317095105</v>
      </c>
      <c r="H10">
        <f t="shared" si="3"/>
        <v>2.5083907436848619E-2</v>
      </c>
      <c r="I10">
        <v>2000</v>
      </c>
      <c r="J10">
        <f t="shared" si="4"/>
        <v>5.0679559603687509E-2</v>
      </c>
      <c r="K10" s="57">
        <f t="shared" si="5"/>
        <v>3.3687521775015876E-2</v>
      </c>
    </row>
    <row r="11" spans="1:11" ht="15" x14ac:dyDescent="0.2">
      <c r="A11" s="5" t="s">
        <v>18</v>
      </c>
      <c r="B11" s="49">
        <f>(154*2)+(430*2)+(420*2)+(503*2)+(570*2)+(212*2)+(227*2)</f>
        <v>5032</v>
      </c>
      <c r="C11">
        <v>39.68</v>
      </c>
      <c r="D11">
        <f t="shared" si="0"/>
        <v>1574.5024000000001</v>
      </c>
      <c r="E11">
        <v>0.56799999999999995</v>
      </c>
      <c r="F11">
        <f t="shared" si="1"/>
        <v>4.6540019607480436E-2</v>
      </c>
      <c r="G11">
        <f t="shared" si="2"/>
        <v>50.942579509564418</v>
      </c>
      <c r="H11">
        <f t="shared" si="3"/>
        <v>3.3445209915798156E-2</v>
      </c>
      <c r="I11">
        <v>2000</v>
      </c>
      <c r="J11">
        <f t="shared" si="4"/>
        <v>7.929419965630756E-2</v>
      </c>
      <c r="K11" s="57">
        <f t="shared" si="5"/>
        <v>5.2708135162247066E-2</v>
      </c>
    </row>
    <row r="12" spans="1:11" ht="15" x14ac:dyDescent="0.2">
      <c r="A12" s="5" t="s">
        <v>31</v>
      </c>
      <c r="B12" s="49">
        <f>2*5096</f>
        <v>10192</v>
      </c>
      <c r="C12">
        <v>72.42</v>
      </c>
      <c r="D12">
        <f t="shared" si="0"/>
        <v>5244.6563999999998</v>
      </c>
      <c r="E12">
        <v>0.63100000000000001</v>
      </c>
      <c r="F12">
        <f t="shared" si="1"/>
        <v>9.4263887090508869E-2</v>
      </c>
      <c r="G12">
        <f t="shared" si="2"/>
        <v>15.293511639771102</v>
      </c>
      <c r="H12">
        <f t="shared" si="3"/>
        <v>3.715480186068422E-2</v>
      </c>
      <c r="I12">
        <v>2000</v>
      </c>
      <c r="J12">
        <f t="shared" si="4"/>
        <v>5.3563322978540405E-2</v>
      </c>
      <c r="K12" s="57">
        <f t="shared" si="5"/>
        <v>3.5604405864854763E-2</v>
      </c>
    </row>
    <row r="13" spans="1:11" ht="15" x14ac:dyDescent="0.2">
      <c r="A13" s="5" t="s">
        <v>19</v>
      </c>
      <c r="B13" s="49">
        <f>(45*2)+(300*2)+(497*2)+(300*2)</f>
        <v>2284</v>
      </c>
      <c r="C13">
        <v>82.48</v>
      </c>
      <c r="D13">
        <f t="shared" si="0"/>
        <v>6802.9504000000006</v>
      </c>
      <c r="E13">
        <v>0.56999999999999995</v>
      </c>
      <c r="F13">
        <f t="shared" si="1"/>
        <v>2.1124285529309485E-2</v>
      </c>
      <c r="G13">
        <f t="shared" si="2"/>
        <v>11.790356975114797</v>
      </c>
      <c r="H13">
        <f t="shared" si="3"/>
        <v>3.3562974739445334E-2</v>
      </c>
      <c r="I13">
        <v>1999</v>
      </c>
      <c r="J13">
        <f t="shared" si="4"/>
        <v>8.3592907215357774E-3</v>
      </c>
      <c r="K13" s="57">
        <f t="shared" si="5"/>
        <v>5.5565555503551542E-3</v>
      </c>
    </row>
    <row r="14" spans="1:11" ht="15" x14ac:dyDescent="0.2">
      <c r="A14" s="5" t="s">
        <v>32</v>
      </c>
      <c r="B14" s="49">
        <f>2*349</f>
        <v>698</v>
      </c>
      <c r="C14">
        <v>55.93</v>
      </c>
      <c r="D14">
        <f t="shared" si="0"/>
        <v>3128.1648999999998</v>
      </c>
      <c r="E14">
        <v>1.5649999999999999</v>
      </c>
      <c r="F14">
        <f t="shared" si="1"/>
        <v>6.4556704463476439E-3</v>
      </c>
      <c r="G14">
        <f t="shared" si="2"/>
        <v>25.640980019947161</v>
      </c>
      <c r="H14">
        <f t="shared" si="3"/>
        <v>9.2150974503915697E-2</v>
      </c>
      <c r="I14">
        <v>1999</v>
      </c>
      <c r="J14">
        <f t="shared" si="4"/>
        <v>1.5253724724471861E-2</v>
      </c>
      <c r="K14" s="57">
        <f t="shared" si="5"/>
        <v>1.0139397181508948E-2</v>
      </c>
    </row>
    <row r="15" spans="1:11" ht="15" x14ac:dyDescent="0.2">
      <c r="A15" s="5" t="s">
        <v>33</v>
      </c>
      <c r="B15" s="49">
        <f>2*116</f>
        <v>232</v>
      </c>
      <c r="C15">
        <v>65.459999999999994</v>
      </c>
      <c r="D15">
        <f t="shared" si="0"/>
        <v>4285.0115999999989</v>
      </c>
      <c r="E15">
        <v>2.5649999999999999</v>
      </c>
      <c r="F15">
        <f t="shared" si="1"/>
        <v>2.1457242744307358E-3</v>
      </c>
      <c r="G15">
        <f t="shared" si="2"/>
        <v>18.718552290500224</v>
      </c>
      <c r="H15">
        <f t="shared" si="3"/>
        <v>0.15103338632750399</v>
      </c>
      <c r="I15">
        <v>1999</v>
      </c>
      <c r="J15">
        <f t="shared" si="4"/>
        <v>6.0662336137251209E-3</v>
      </c>
      <c r="K15" s="57">
        <f t="shared" si="5"/>
        <v>4.0323234564932772E-3</v>
      </c>
    </row>
    <row r="16" spans="1:11" ht="15" x14ac:dyDescent="0.2">
      <c r="A16" s="5" t="s">
        <v>23</v>
      </c>
      <c r="B16" s="49">
        <f>384*2</f>
        <v>768</v>
      </c>
      <c r="C16">
        <v>38.75</v>
      </c>
      <c r="D16">
        <f t="shared" si="0"/>
        <v>1501.5625</v>
      </c>
      <c r="E16">
        <v>0.495</v>
      </c>
      <c r="F16">
        <f t="shared" si="1"/>
        <v>7.1030872532879524E-3</v>
      </c>
      <c r="G16">
        <f t="shared" si="2"/>
        <v>53.417166251821023</v>
      </c>
      <c r="H16">
        <f t="shared" si="3"/>
        <v>2.9146793852676212E-2</v>
      </c>
      <c r="I16">
        <v>2000</v>
      </c>
      <c r="J16">
        <f t="shared" si="4"/>
        <v>1.1059074509302616E-2</v>
      </c>
      <c r="K16" s="57">
        <f t="shared" si="5"/>
        <v>7.3511454372730484E-3</v>
      </c>
    </row>
    <row r="17" spans="1:11" ht="15" x14ac:dyDescent="0.2">
      <c r="A17" s="5" t="s">
        <v>24</v>
      </c>
      <c r="B17" s="49">
        <f>8*2</f>
        <v>16</v>
      </c>
      <c r="C17">
        <v>74.42</v>
      </c>
      <c r="D17">
        <f t="shared" si="0"/>
        <v>5538.3364000000001</v>
      </c>
      <c r="E17">
        <v>0.54500000000000004</v>
      </c>
      <c r="F17">
        <f t="shared" si="1"/>
        <v>1.47980984443499E-4</v>
      </c>
      <c r="G17">
        <f t="shared" si="2"/>
        <v>14.482546365367044</v>
      </c>
      <c r="H17">
        <f t="shared" si="3"/>
        <v>3.2090914443855631E-2</v>
      </c>
      <c r="I17">
        <v>2002</v>
      </c>
      <c r="J17">
        <f t="shared" si="4"/>
        <v>6.877536950336339E-5</v>
      </c>
      <c r="K17" s="57">
        <f t="shared" si="5"/>
        <v>4.5716098873928231E-5</v>
      </c>
    </row>
    <row r="18" spans="1:11" ht="15" x14ac:dyDescent="0.2">
      <c r="A18" s="5" t="s">
        <v>25</v>
      </c>
      <c r="B18" s="49">
        <f>(234*2)+(554*2)</f>
        <v>1576</v>
      </c>
      <c r="C18">
        <v>76.84</v>
      </c>
      <c r="D18">
        <f t="shared" si="0"/>
        <v>5904.3856000000005</v>
      </c>
      <c r="E18">
        <v>0.54900000000000004</v>
      </c>
      <c r="F18">
        <f t="shared" si="1"/>
        <v>1.4576126967684653E-2</v>
      </c>
      <c r="G18">
        <f t="shared" si="2"/>
        <v>13.58468418797038</v>
      </c>
      <c r="H18">
        <f t="shared" si="3"/>
        <v>3.2326444091149979E-2</v>
      </c>
      <c r="I18">
        <v>1999</v>
      </c>
      <c r="J18">
        <f t="shared" si="4"/>
        <v>6.4010264832671006E-3</v>
      </c>
      <c r="K18" s="57">
        <f t="shared" si="5"/>
        <v>4.2548656839911433E-3</v>
      </c>
    </row>
    <row r="19" spans="1:11" ht="15" x14ac:dyDescent="0.2">
      <c r="A19" s="5" t="s">
        <v>34</v>
      </c>
      <c r="B19" s="49">
        <f>2*298</f>
        <v>596</v>
      </c>
      <c r="C19">
        <v>76.88</v>
      </c>
      <c r="D19">
        <f t="shared" si="0"/>
        <v>5910.5343999999996</v>
      </c>
      <c r="E19">
        <v>3.5649999999999999</v>
      </c>
      <c r="F19">
        <f t="shared" si="1"/>
        <v>5.5122916705203379E-3</v>
      </c>
      <c r="G19">
        <f t="shared" si="2"/>
        <v>13.570551877677932</v>
      </c>
      <c r="H19">
        <f t="shared" si="3"/>
        <v>0.20991579815109229</v>
      </c>
      <c r="I19">
        <v>2000</v>
      </c>
      <c r="J19">
        <f t="shared" si="4"/>
        <v>1.5702717710892565E-2</v>
      </c>
      <c r="K19" s="57">
        <f t="shared" si="5"/>
        <v>1.0437850071099101E-2</v>
      </c>
    </row>
    <row r="20" spans="1:11" ht="15" x14ac:dyDescent="0.2">
      <c r="A20" s="5" t="s">
        <v>26</v>
      </c>
      <c r="B20" s="49">
        <f>1*2</f>
        <v>2</v>
      </c>
      <c r="C20">
        <v>34.71</v>
      </c>
      <c r="D20">
        <f t="shared" si="0"/>
        <v>1204.7841000000001</v>
      </c>
      <c r="E20">
        <v>0.56299999999999994</v>
      </c>
      <c r="F20">
        <f t="shared" si="1"/>
        <v>1.8497623055437375E-5</v>
      </c>
      <c r="G20">
        <f t="shared" si="2"/>
        <v>66.575591178535646</v>
      </c>
      <c r="H20">
        <f t="shared" si="3"/>
        <v>3.3150797856680216E-2</v>
      </c>
      <c r="I20">
        <v>2000</v>
      </c>
      <c r="J20">
        <f t="shared" si="4"/>
        <v>4.0824882361565961E-5</v>
      </c>
      <c r="K20" s="57">
        <f t="shared" si="5"/>
        <v>2.7136958653003906E-5</v>
      </c>
    </row>
    <row r="21" spans="1:11" ht="15" x14ac:dyDescent="0.2">
      <c r="A21" s="5" t="s">
        <v>27</v>
      </c>
      <c r="B21" s="49">
        <f>(493*2)+(405*2)+(3098*2)+(1810*2)</f>
        <v>11612</v>
      </c>
      <c r="C21">
        <v>67.55</v>
      </c>
      <c r="D21">
        <f t="shared" si="0"/>
        <v>4563.0024999999996</v>
      </c>
      <c r="E21">
        <v>0.53300000000000003</v>
      </c>
      <c r="F21">
        <f t="shared" si="1"/>
        <v>0.10739719945986941</v>
      </c>
      <c r="G21">
        <f t="shared" si="2"/>
        <v>17.578165626689884</v>
      </c>
      <c r="H21">
        <f t="shared" si="3"/>
        <v>3.1384325501972565E-2</v>
      </c>
      <c r="I21">
        <v>1999</v>
      </c>
      <c r="J21">
        <f t="shared" si="4"/>
        <v>5.9248765827734126E-2</v>
      </c>
      <c r="K21" s="57">
        <f t="shared" si="5"/>
        <v>3.9383611550156065E-2</v>
      </c>
    </row>
    <row r="22" spans="1:11" ht="15" x14ac:dyDescent="0.2">
      <c r="A22" s="5" t="s">
        <v>28</v>
      </c>
      <c r="B22" s="49">
        <f>2308*2</f>
        <v>4616</v>
      </c>
      <c r="C22">
        <v>32.14</v>
      </c>
      <c r="D22">
        <f t="shared" si="0"/>
        <v>1032.9796000000001</v>
      </c>
      <c r="E22">
        <v>0.49099999999999999</v>
      </c>
      <c r="F22">
        <f t="shared" si="1"/>
        <v>4.2692514011949463E-2</v>
      </c>
      <c r="G22">
        <f t="shared" si="2"/>
        <v>77.648400510523146</v>
      </c>
      <c r="H22">
        <f t="shared" si="3"/>
        <v>2.8911264205381856E-2</v>
      </c>
      <c r="I22">
        <v>2000</v>
      </c>
      <c r="J22">
        <f t="shared" si="4"/>
        <v>9.584099773651758E-2</v>
      </c>
      <c r="K22" s="58">
        <f>J22/$J$24</f>
        <v>6.3707059087255033E-2</v>
      </c>
    </row>
    <row r="23" spans="1:11" ht="15" x14ac:dyDescent="0.2">
      <c r="A23" s="37" t="s">
        <v>39</v>
      </c>
      <c r="B23" s="38">
        <f>SUM(B7:B22)</f>
        <v>49834</v>
      </c>
      <c r="C23" s="37"/>
      <c r="D23" s="37"/>
      <c r="E23" s="37"/>
      <c r="F23" s="37"/>
      <c r="G23" s="37"/>
      <c r="H23" s="37"/>
      <c r="I23" s="37"/>
      <c r="J23" s="37"/>
      <c r="K23" s="55">
        <f>SUM(K7:K22)</f>
        <v>0.31877547300982556</v>
      </c>
    </row>
    <row r="24" spans="1:11" ht="15" x14ac:dyDescent="0.2">
      <c r="A24" t="s">
        <v>29</v>
      </c>
      <c r="B24" s="7">
        <f>B23+B6</f>
        <v>108122</v>
      </c>
      <c r="C24" s="13">
        <f>SUM(C2:C5,C7:C22)</f>
        <v>1166.3900000000001</v>
      </c>
      <c r="D24">
        <f>SUM(D2:D5,D7:D22)</f>
        <v>80209.213700000008</v>
      </c>
      <c r="E24">
        <f>SUM(E2:E5,E7:E22)</f>
        <v>16.982999999999997</v>
      </c>
      <c r="F24">
        <f>SUM(F2:F5,F7:F22)</f>
        <v>0.99999999999999978</v>
      </c>
      <c r="G24">
        <f>SUM(G2:G5,G7:G22)</f>
        <v>963.2167467531533</v>
      </c>
      <c r="H24">
        <f>SUM(H4:H22)</f>
        <v>0.93093093093093104</v>
      </c>
      <c r="J24" s="13">
        <f>SUM(J2:J5,J7:J22)</f>
        <v>1.5044015390076471</v>
      </c>
      <c r="K24" s="13">
        <f>K6+K23</f>
        <v>0.99999999999999989</v>
      </c>
    </row>
    <row r="25" spans="1:11" ht="15" x14ac:dyDescent="0.2">
      <c r="B25" s="7"/>
      <c r="C25" s="13"/>
      <c r="J25" s="13"/>
      <c r="K25" s="13"/>
    </row>
    <row r="26" spans="1:11" ht="15" x14ac:dyDescent="0.2">
      <c r="A26" s="6"/>
      <c r="B26" s="7"/>
      <c r="C26" s="13"/>
      <c r="J26" s="13"/>
      <c r="K26" s="13"/>
    </row>
    <row r="27" spans="1:11" ht="15" x14ac:dyDescent="0.2">
      <c r="A27" s="6"/>
      <c r="B27" s="7"/>
      <c r="C27" s="13"/>
      <c r="J27" s="13"/>
      <c r="K27" s="13"/>
    </row>
    <row r="28" spans="1:11" ht="15" x14ac:dyDescent="0.25">
      <c r="A28" s="48" t="s">
        <v>59</v>
      </c>
    </row>
    <row r="29" spans="1:11" ht="15" x14ac:dyDescent="0.25">
      <c r="A29" t="s">
        <v>57</v>
      </c>
    </row>
    <row r="30" spans="1:11" ht="15" x14ac:dyDescent="0.25">
      <c r="A30" t="s">
        <v>58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workbookViewId="0">
      <pane ySplit="1" topLeftCell="A2" activePane="bottomLeft" state="frozen"/>
      <selection pane="bottomLeft" activeCell="A20" sqref="A20"/>
    </sheetView>
  </sheetViews>
  <sheetFormatPr defaultColWidth="8.886718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10" max="10" width="10" bestFit="1" customWidth="1"/>
    <col min="11" max="11" width="11" bestFit="1" customWidth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53</v>
      </c>
      <c r="J1" s="1" t="s">
        <v>8</v>
      </c>
      <c r="K1" s="2" t="s">
        <v>9</v>
      </c>
    </row>
    <row r="2" spans="1:11" ht="15" x14ac:dyDescent="0.2">
      <c r="A2" s="3" t="s">
        <v>13</v>
      </c>
      <c r="B2" s="7">
        <v>22964</v>
      </c>
      <c r="C2">
        <v>84.25</v>
      </c>
      <c r="D2">
        <f>C2*C2</f>
        <v>7098.0625</v>
      </c>
      <c r="E2">
        <v>0.71899999999999997</v>
      </c>
      <c r="F2" s="8">
        <f>B2/$B$22</f>
        <v>0.22956194893736129</v>
      </c>
      <c r="G2">
        <f>$D$22/D2</f>
        <v>7.8187593727161468</v>
      </c>
      <c r="H2">
        <f>E2/$E$22</f>
        <v>7.2758550900627397E-2</v>
      </c>
      <c r="I2">
        <v>2001</v>
      </c>
      <c r="J2" s="9">
        <f>F2*G2*H2</f>
        <v>0.13059356922370693</v>
      </c>
      <c r="K2" s="10">
        <f>J2/$J$22</f>
        <v>7.1863198911036819E-2</v>
      </c>
    </row>
    <row r="3" spans="1:11" ht="15" x14ac:dyDescent="0.2">
      <c r="A3" s="3" t="s">
        <v>11</v>
      </c>
      <c r="B3" s="7">
        <v>9326</v>
      </c>
      <c r="C3">
        <v>52.66</v>
      </c>
      <c r="D3">
        <f>C3*C3</f>
        <v>2773.0755999999997</v>
      </c>
      <c r="E3">
        <v>0.45400000000000001</v>
      </c>
      <c r="F3" s="8">
        <f>B3/$B$22</f>
        <v>9.3228302377191749E-2</v>
      </c>
      <c r="G3">
        <f>$D$22/D3</f>
        <v>20.013173351638883</v>
      </c>
      <c r="H3">
        <f>E3/$E$22</f>
        <v>4.5942116980368347E-2</v>
      </c>
      <c r="I3">
        <v>2001</v>
      </c>
      <c r="J3" s="9">
        <f>F3*G3*H3</f>
        <v>8.5718534329710647E-2</v>
      </c>
      <c r="K3" s="10">
        <f>J3/$J$22</f>
        <v>4.7169306417733585E-2</v>
      </c>
    </row>
    <row r="4" spans="1:11" ht="15" x14ac:dyDescent="0.2">
      <c r="A4" s="3" t="s">
        <v>10</v>
      </c>
      <c r="B4" s="7">
        <v>19330</v>
      </c>
      <c r="C4">
        <v>28.97</v>
      </c>
      <c r="D4">
        <f>C4*C4</f>
        <v>839.26089999999988</v>
      </c>
      <c r="E4">
        <v>0.54600000000000004</v>
      </c>
      <c r="F4" s="8">
        <f>B4/$B$22</f>
        <v>0.19323430033788511</v>
      </c>
      <c r="G4">
        <f>$D$22/D4</f>
        <v>66.127282588763535</v>
      </c>
      <c r="H4">
        <f>E4/$E$22</f>
        <v>5.5251973284760177E-2</v>
      </c>
      <c r="I4">
        <v>2000</v>
      </c>
      <c r="J4" s="9">
        <f>F4*G4*H4</f>
        <v>0.70601298468121765</v>
      </c>
      <c r="K4" s="10">
        <f>J4/$J$22</f>
        <v>0.38850574230810486</v>
      </c>
    </row>
    <row r="5" spans="1:11" ht="15" x14ac:dyDescent="0.2">
      <c r="A5" s="3" t="s">
        <v>12</v>
      </c>
      <c r="B5" s="7">
        <v>6668</v>
      </c>
      <c r="C5">
        <v>67.900000000000006</v>
      </c>
      <c r="D5">
        <f>C5*C5</f>
        <v>4610.4100000000008</v>
      </c>
      <c r="E5">
        <v>0.55000000000000004</v>
      </c>
      <c r="F5" s="8">
        <f>B5/$B$22</f>
        <v>6.6657336505588097E-2</v>
      </c>
      <c r="G5">
        <f>$D$22/D5</f>
        <v>12.037550391396859</v>
      </c>
      <c r="H5">
        <f>E5/$E$22</f>
        <v>5.5656749645820687E-2</v>
      </c>
      <c r="I5">
        <v>2000</v>
      </c>
      <c r="J5" s="9">
        <f>F5*G5*H5</f>
        <v>4.4658477628847684E-2</v>
      </c>
      <c r="K5" s="10">
        <f>J5/$J$22</f>
        <v>2.4574725080133409E-2</v>
      </c>
    </row>
    <row r="6" spans="1:11" ht="15" x14ac:dyDescent="0.2">
      <c r="A6" s="34" t="s">
        <v>38</v>
      </c>
      <c r="B6" s="35">
        <f>SUM(B2:B5)</f>
        <v>58288</v>
      </c>
      <c r="C6" s="34"/>
      <c r="D6" s="36"/>
      <c r="E6" s="34"/>
      <c r="F6" s="34"/>
      <c r="G6" s="34"/>
      <c r="H6" s="34"/>
      <c r="I6" s="34"/>
      <c r="J6" s="34"/>
      <c r="K6" s="40">
        <f>SUM(K2:K5)</f>
        <v>0.53211297271700864</v>
      </c>
    </row>
    <row r="7" spans="1:11" ht="15" x14ac:dyDescent="0.2">
      <c r="A7" s="5" t="s">
        <v>14</v>
      </c>
      <c r="B7" s="7">
        <f>(1060*2)+(467*2)</f>
        <v>3054</v>
      </c>
      <c r="C7" s="5">
        <v>80.45</v>
      </c>
      <c r="D7" s="5">
        <f t="shared" ref="D7:D20" si="0">C7*C7</f>
        <v>6472.2025000000003</v>
      </c>
      <c r="E7" s="5">
        <v>0.56499999999999995</v>
      </c>
      <c r="F7" s="11">
        <f t="shared" ref="F7:F20" si="1">B7/$B$22</f>
        <v>3.0529619929224063E-2</v>
      </c>
      <c r="G7" s="5">
        <f t="shared" ref="G7:G20" si="2">$D$22/D7</f>
        <v>8.5748310100000733</v>
      </c>
      <c r="H7" s="5">
        <f t="shared" ref="H7:H20" si="3">E7/$E$22</f>
        <v>5.7174660999797608E-2</v>
      </c>
      <c r="I7" s="5">
        <v>2000</v>
      </c>
      <c r="J7" s="12">
        <f t="shared" ref="J7:J20" si="4">F7*G7*H7</f>
        <v>1.4967544768906505E-2</v>
      </c>
      <c r="K7" s="53">
        <f>J7/$J$22</f>
        <v>8.2363599779958999E-3</v>
      </c>
    </row>
    <row r="8" spans="1:11" ht="15" x14ac:dyDescent="0.2">
      <c r="A8" s="5" t="s">
        <v>15</v>
      </c>
      <c r="B8" s="7">
        <f>450*2</f>
        <v>900</v>
      </c>
      <c r="C8" s="5">
        <v>41.62</v>
      </c>
      <c r="D8" s="5">
        <f t="shared" si="0"/>
        <v>1732.2243999999998</v>
      </c>
      <c r="E8" s="5">
        <v>0.55400000000000005</v>
      </c>
      <c r="F8" s="11">
        <f t="shared" si="1"/>
        <v>8.9969410400463842E-3</v>
      </c>
      <c r="G8" s="5">
        <f t="shared" si="2"/>
        <v>32.038598867444662</v>
      </c>
      <c r="H8" s="5">
        <f t="shared" si="3"/>
        <v>5.6061526006881204E-2</v>
      </c>
      <c r="I8" s="5">
        <v>1999</v>
      </c>
      <c r="J8" s="12">
        <f t="shared" si="4"/>
        <v>1.6159700394547408E-2</v>
      </c>
      <c r="K8" s="53">
        <f t="shared" ref="K8:K20" si="5">J8/$J$22</f>
        <v>8.8923809242615406E-3</v>
      </c>
    </row>
    <row r="9" spans="1:11" ht="15" x14ac:dyDescent="0.2">
      <c r="A9" s="5" t="s">
        <v>16</v>
      </c>
      <c r="B9" s="7">
        <f>(148*2)+(15*2)+(199*2)+(20*2)+(15*2)+(337*2)+(50*2)+(134*2)+(28*2)+(281*2)+(72*2)+(718*2)+(841*2)+(84*2)+(10*2)+(116*2)</f>
        <v>6136</v>
      </c>
      <c r="C9" s="5">
        <v>27.64</v>
      </c>
      <c r="D9" s="5">
        <f t="shared" si="0"/>
        <v>763.96960000000001</v>
      </c>
      <c r="E9" s="5">
        <v>0.52900000000000003</v>
      </c>
      <c r="F9" s="11">
        <f t="shared" si="1"/>
        <v>6.1339144690805127E-2</v>
      </c>
      <c r="G9" s="5">
        <f t="shared" si="2"/>
        <v>72.644307705437498</v>
      </c>
      <c r="H9" s="5">
        <f t="shared" si="3"/>
        <v>5.3531673750252987E-2</v>
      </c>
      <c r="I9" s="5">
        <v>1999</v>
      </c>
      <c r="J9" s="12">
        <f t="shared" si="4"/>
        <v>0.2385339103411768</v>
      </c>
      <c r="K9" s="53">
        <f t="shared" si="5"/>
        <v>0.1312607500336519</v>
      </c>
    </row>
    <row r="10" spans="1:11" ht="15" x14ac:dyDescent="0.2">
      <c r="A10" s="5" t="s">
        <v>17</v>
      </c>
      <c r="B10" s="7">
        <v>2120</v>
      </c>
      <c r="C10" s="5">
        <v>67.12</v>
      </c>
      <c r="D10" s="5">
        <f t="shared" si="0"/>
        <v>4505.0944000000009</v>
      </c>
      <c r="E10" s="5">
        <v>0.42599999999999999</v>
      </c>
      <c r="F10" s="11">
        <f t="shared" si="1"/>
        <v>2.1192794449887038E-2</v>
      </c>
      <c r="G10" s="5">
        <f t="shared" si="2"/>
        <v>12.318952228836757</v>
      </c>
      <c r="H10" s="5">
        <f t="shared" si="3"/>
        <v>4.3108682452944747E-2</v>
      </c>
      <c r="I10" s="5">
        <v>2000</v>
      </c>
      <c r="J10" s="12">
        <f t="shared" si="4"/>
        <v>1.125451402069446E-2</v>
      </c>
      <c r="K10" s="53">
        <f t="shared" si="5"/>
        <v>6.1931485947119532E-3</v>
      </c>
    </row>
    <row r="11" spans="1:11" ht="15" x14ac:dyDescent="0.2">
      <c r="A11" s="5" t="s">
        <v>18</v>
      </c>
      <c r="B11" s="7">
        <f>(154*2)+(430*2)+(420*2)+(503*2)+(570*2)+(212*2)+(227*2)</f>
        <v>5032</v>
      </c>
      <c r="C11" s="5">
        <v>73.349999999999994</v>
      </c>
      <c r="D11" s="5">
        <f t="shared" si="0"/>
        <v>5380.2224999999989</v>
      </c>
      <c r="E11" s="5">
        <v>0.56799999999999995</v>
      </c>
      <c r="F11" s="11">
        <f t="shared" si="1"/>
        <v>5.0302897015014898E-2</v>
      </c>
      <c r="G11" s="5">
        <f t="shared" si="2"/>
        <v>10.315194715460191</v>
      </c>
      <c r="H11" s="5">
        <f t="shared" si="3"/>
        <v>5.7478243270592991E-2</v>
      </c>
      <c r="I11" s="5">
        <v>2000</v>
      </c>
      <c r="J11" s="12">
        <f t="shared" si="4"/>
        <v>2.9824550981400532E-2</v>
      </c>
      <c r="K11" s="53">
        <f t="shared" si="5"/>
        <v>1.6411892655581614E-2</v>
      </c>
    </row>
    <row r="12" spans="1:11" ht="15" x14ac:dyDescent="0.2">
      <c r="A12" s="5" t="s">
        <v>19</v>
      </c>
      <c r="B12" s="7">
        <f>(45*2)+(300*2)+(497*2)+(300*2)</f>
        <v>2284</v>
      </c>
      <c r="C12" s="5">
        <v>44.97</v>
      </c>
      <c r="D12" s="5">
        <f t="shared" si="0"/>
        <v>2022.3009</v>
      </c>
      <c r="E12" s="5">
        <v>0.56999999999999995</v>
      </c>
      <c r="F12" s="11">
        <f t="shared" si="1"/>
        <v>2.2832237039406601E-2</v>
      </c>
      <c r="G12" s="5">
        <f t="shared" si="2"/>
        <v>27.443019335055435</v>
      </c>
      <c r="H12" s="5">
        <f t="shared" si="3"/>
        <v>5.7680631451123253E-2</v>
      </c>
      <c r="I12" s="5">
        <v>1999</v>
      </c>
      <c r="J12" s="12">
        <f t="shared" si="4"/>
        <v>3.6141848597951061E-2</v>
      </c>
      <c r="K12" s="53">
        <f t="shared" si="5"/>
        <v>1.9888183394069045E-2</v>
      </c>
    </row>
    <row r="13" spans="1:11" ht="15" x14ac:dyDescent="0.2">
      <c r="A13" s="5" t="s">
        <v>20</v>
      </c>
      <c r="B13" s="7">
        <f>(185*2)+(1128*2)+(82*2)</f>
        <v>2790</v>
      </c>
      <c r="C13" s="5">
        <v>48.82</v>
      </c>
      <c r="D13" s="5">
        <f t="shared" si="0"/>
        <v>2383.3924000000002</v>
      </c>
      <c r="E13" s="5">
        <v>0.58199999999999996</v>
      </c>
      <c r="F13" s="11">
        <f t="shared" si="1"/>
        <v>2.789051722414379E-2</v>
      </c>
      <c r="G13" s="5">
        <f t="shared" si="2"/>
        <v>23.285314956949598</v>
      </c>
      <c r="H13" s="5">
        <f t="shared" si="3"/>
        <v>5.8894960534304798E-2</v>
      </c>
      <c r="I13" s="5">
        <v>1999</v>
      </c>
      <c r="J13" s="12">
        <f t="shared" si="4"/>
        <v>3.8248712418951017E-2</v>
      </c>
      <c r="K13" s="53">
        <f t="shared" si="5"/>
        <v>2.1047551154265782E-2</v>
      </c>
    </row>
    <row r="14" spans="1:11" ht="15" x14ac:dyDescent="0.2">
      <c r="A14" s="5" t="s">
        <v>23</v>
      </c>
      <c r="B14" s="7">
        <f>384*2</f>
        <v>768</v>
      </c>
      <c r="C14" s="5">
        <v>33.950000000000003</v>
      </c>
      <c r="D14" s="5">
        <f t="shared" si="0"/>
        <v>1152.6025000000002</v>
      </c>
      <c r="E14" s="5">
        <v>0.495</v>
      </c>
      <c r="F14" s="11">
        <f t="shared" si="1"/>
        <v>7.6773896875062479E-3</v>
      </c>
      <c r="G14" s="5">
        <f t="shared" si="2"/>
        <v>48.150201565587437</v>
      </c>
      <c r="H14" s="5">
        <f t="shared" si="3"/>
        <v>5.0091074681238613E-2</v>
      </c>
      <c r="I14" s="5">
        <v>2000</v>
      </c>
      <c r="J14" s="12">
        <f t="shared" si="4"/>
        <v>1.8517060430149682E-2</v>
      </c>
      <c r="K14" s="53">
        <f t="shared" si="5"/>
        <v>1.0189592066819563E-2</v>
      </c>
    </row>
    <row r="15" spans="1:11" ht="15" x14ac:dyDescent="0.2">
      <c r="A15" s="5" t="s">
        <v>24</v>
      </c>
      <c r="B15" s="7">
        <f>8*2</f>
        <v>16</v>
      </c>
      <c r="C15" s="5">
        <v>38.92</v>
      </c>
      <c r="D15" s="5">
        <f t="shared" si="0"/>
        <v>1514.7664000000002</v>
      </c>
      <c r="E15" s="5">
        <v>0.54500000000000004</v>
      </c>
      <c r="F15" s="11">
        <f t="shared" si="1"/>
        <v>1.5994561848971351E-4</v>
      </c>
      <c r="G15" s="5">
        <f t="shared" si="2"/>
        <v>36.638020687546273</v>
      </c>
      <c r="H15" s="5">
        <f t="shared" si="3"/>
        <v>5.5150779194495049E-2</v>
      </c>
      <c r="I15" s="5">
        <v>2002</v>
      </c>
      <c r="J15" s="12">
        <f t="shared" si="4"/>
        <v>3.2318857813338765E-4</v>
      </c>
      <c r="K15" s="53">
        <f t="shared" si="5"/>
        <v>1.7784463059118726E-4</v>
      </c>
    </row>
    <row r="16" spans="1:11" ht="15" x14ac:dyDescent="0.2">
      <c r="A16" s="5" t="s">
        <v>25</v>
      </c>
      <c r="B16" s="7">
        <f>(234*2)+(554*2)</f>
        <v>1576</v>
      </c>
      <c r="C16" s="5">
        <v>40.75</v>
      </c>
      <c r="D16" s="5">
        <f t="shared" si="0"/>
        <v>1660.5625</v>
      </c>
      <c r="E16" s="5">
        <v>0.54900000000000004</v>
      </c>
      <c r="F16" s="11">
        <f t="shared" si="1"/>
        <v>1.575464342123678E-2</v>
      </c>
      <c r="G16" s="5">
        <f t="shared" si="2"/>
        <v>33.421230878091009</v>
      </c>
      <c r="H16" s="5">
        <f t="shared" si="3"/>
        <v>5.5555555555555559E-2</v>
      </c>
      <c r="I16" s="5">
        <v>1999</v>
      </c>
      <c r="J16" s="12">
        <f t="shared" si="4"/>
        <v>2.9252198621286227E-2</v>
      </c>
      <c r="K16" s="53">
        <f t="shared" si="5"/>
        <v>1.6096937855382853E-2</v>
      </c>
    </row>
    <row r="17" spans="1:11" ht="15" x14ac:dyDescent="0.2">
      <c r="A17" s="5" t="s">
        <v>30</v>
      </c>
      <c r="B17" s="7">
        <f>420*2</f>
        <v>840</v>
      </c>
      <c r="C17" s="5">
        <v>73.709999999999994</v>
      </c>
      <c r="D17" s="5">
        <f t="shared" si="0"/>
        <v>5433.1640999999991</v>
      </c>
      <c r="E17" s="5">
        <v>0.64300000000000002</v>
      </c>
      <c r="F17" s="11">
        <f t="shared" si="1"/>
        <v>8.3971449707099591E-3</v>
      </c>
      <c r="G17" s="5">
        <f t="shared" si="2"/>
        <v>10.214681846256036</v>
      </c>
      <c r="H17" s="5">
        <f t="shared" si="3"/>
        <v>6.5067800040477644E-2</v>
      </c>
      <c r="I17" s="5">
        <v>2001</v>
      </c>
      <c r="J17" s="12">
        <f t="shared" si="4"/>
        <v>5.5811361708359083E-3</v>
      </c>
      <c r="K17" s="53">
        <f t="shared" si="5"/>
        <v>3.0711948618795744E-3</v>
      </c>
    </row>
    <row r="18" spans="1:11" ht="15" x14ac:dyDescent="0.2">
      <c r="A18" s="5" t="s">
        <v>26</v>
      </c>
      <c r="B18" s="7">
        <f>1*2</f>
        <v>2</v>
      </c>
      <c r="C18" s="5">
        <v>69.23</v>
      </c>
      <c r="D18" s="5">
        <f t="shared" si="0"/>
        <v>4792.7929000000004</v>
      </c>
      <c r="E18" s="5">
        <v>0.56299999999999994</v>
      </c>
      <c r="F18" s="11">
        <f t="shared" si="1"/>
        <v>1.9993202311214188E-5</v>
      </c>
      <c r="G18" s="5">
        <f t="shared" si="2"/>
        <v>11.579478575007904</v>
      </c>
      <c r="H18" s="5">
        <f t="shared" si="3"/>
        <v>5.6972272819267353E-2</v>
      </c>
      <c r="I18" s="5">
        <v>2000</v>
      </c>
      <c r="J18" s="12">
        <f t="shared" si="4"/>
        <v>1.3189699751688656E-5</v>
      </c>
      <c r="K18" s="53">
        <f t="shared" si="5"/>
        <v>7.2580451125336798E-6</v>
      </c>
    </row>
    <row r="19" spans="1:11" ht="15" x14ac:dyDescent="0.2">
      <c r="A19" s="5" t="s">
        <v>27</v>
      </c>
      <c r="B19" s="7">
        <f>(493*2)+(405*2)+(3098*2)+(1810*2)</f>
        <v>11612</v>
      </c>
      <c r="C19" s="5">
        <v>33.549999999999997</v>
      </c>
      <c r="D19" s="5">
        <f t="shared" si="0"/>
        <v>1125.6024999999997</v>
      </c>
      <c r="E19" s="5">
        <v>0.53300000000000003</v>
      </c>
      <c r="F19" s="11">
        <f t="shared" si="1"/>
        <v>0.11608053261890958</v>
      </c>
      <c r="G19" s="5">
        <f t="shared" si="2"/>
        <v>49.305187843843647</v>
      </c>
      <c r="H19" s="5">
        <f t="shared" si="3"/>
        <v>5.3936450111313504E-2</v>
      </c>
      <c r="I19" s="5">
        <v>1999</v>
      </c>
      <c r="J19" s="12">
        <f t="shared" si="4"/>
        <v>0.30869839346948064</v>
      </c>
      <c r="K19" s="53">
        <f t="shared" si="5"/>
        <v>0.16987095295185237</v>
      </c>
    </row>
    <row r="20" spans="1:11" ht="15" x14ac:dyDescent="0.2">
      <c r="A20" s="5" t="s">
        <v>28</v>
      </c>
      <c r="B20" s="7">
        <v>4616</v>
      </c>
      <c r="C20" s="5">
        <v>35.19</v>
      </c>
      <c r="D20" s="5">
        <f t="shared" si="0"/>
        <v>1238.3360999999998</v>
      </c>
      <c r="E20" s="5">
        <v>0.49099999999999999</v>
      </c>
      <c r="F20" s="11">
        <f t="shared" si="1"/>
        <v>4.6144310934282347E-2</v>
      </c>
      <c r="G20" s="5">
        <f t="shared" si="2"/>
        <v>44.816623451420028</v>
      </c>
      <c r="H20" s="5">
        <f t="shared" si="3"/>
        <v>4.9686298320178103E-2</v>
      </c>
      <c r="I20" s="5">
        <v>2000</v>
      </c>
      <c r="J20" s="12">
        <f t="shared" si="4"/>
        <v>0.10275286520090923</v>
      </c>
      <c r="K20" s="53">
        <f t="shared" si="5"/>
        <v>5.6542980136815441E-2</v>
      </c>
    </row>
    <row r="21" spans="1:11" ht="15" x14ac:dyDescent="0.2">
      <c r="A21" s="37" t="s">
        <v>39</v>
      </c>
      <c r="B21" s="38">
        <f>SUM(B7:B20)</f>
        <v>41746</v>
      </c>
      <c r="C21" s="37"/>
      <c r="D21" s="39"/>
      <c r="E21" s="37"/>
      <c r="F21" s="37"/>
      <c r="G21" s="37"/>
      <c r="H21" s="37"/>
      <c r="I21" s="37"/>
      <c r="J21" s="37"/>
      <c r="K21" s="54">
        <f>SUM(K7:K20)</f>
        <v>0.46788702728299136</v>
      </c>
    </row>
    <row r="22" spans="1:11" ht="15" x14ac:dyDescent="0.2">
      <c r="A22" t="s">
        <v>29</v>
      </c>
      <c r="B22" s="7">
        <f>B21+B6</f>
        <v>100034</v>
      </c>
      <c r="C22">
        <f t="shared" ref="C22:H22" si="6">SUM(C2:C5,C7:C20)</f>
        <v>943.05000000000018</v>
      </c>
      <c r="D22">
        <f t="shared" si="6"/>
        <v>55498.042700000005</v>
      </c>
      <c r="E22">
        <f t="shared" si="6"/>
        <v>9.8819999999999997</v>
      </c>
      <c r="F22" s="8">
        <f t="shared" si="6"/>
        <v>1</v>
      </c>
      <c r="G22">
        <f t="shared" si="6"/>
        <v>526.74240937145203</v>
      </c>
      <c r="H22">
        <f t="shared" si="6"/>
        <v>1</v>
      </c>
      <c r="J22" s="9">
        <f>SUM(J2:J5,J7:J20)</f>
        <v>1.8172523795576576</v>
      </c>
      <c r="K22" s="41">
        <f>K21+K6</f>
        <v>1</v>
      </c>
    </row>
    <row r="23" spans="1:11" ht="15" x14ac:dyDescent="0.2">
      <c r="B23" s="7"/>
    </row>
    <row r="24" spans="1:11" ht="15" x14ac:dyDescent="0.2">
      <c r="A24" s="48" t="s">
        <v>59</v>
      </c>
    </row>
    <row r="25" spans="1:11" ht="15" x14ac:dyDescent="0.2">
      <c r="A25" t="s">
        <v>57</v>
      </c>
    </row>
    <row r="26" spans="1:11" ht="15" x14ac:dyDescent="0.2">
      <c r="A26" t="s">
        <v>58</v>
      </c>
    </row>
    <row r="29" spans="1:11" ht="15" x14ac:dyDescent="0.25">
      <c r="A29" s="14" t="s">
        <v>65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CRM Apportioned Totals</vt:lpstr>
      <vt:lpstr>SB2K-Inchcape-KI</vt:lpstr>
      <vt:lpstr>SB2K-NNG-KI</vt:lpstr>
      <vt:lpstr>SB2K-Seagreen-KI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</dc:creator>
  <cp:lastModifiedBy>Walker, Ewan</cp:lastModifiedBy>
  <dcterms:created xsi:type="dcterms:W3CDTF">2014-01-10T14:11:20Z</dcterms:created>
  <dcterms:modified xsi:type="dcterms:W3CDTF">2018-07-12T08:45:52Z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A1194655</vt:lpwstr>
  </property>
  <property fmtid="{D5CDD505-2E9C-101B-9397-08002B2CF9AE}" pid="4" name="Objective-Title">
    <vt:lpwstr>2014 02 07 - FTOWDG - Cumulative Impact - Birds - KI Apportioning CRM - NNG</vt:lpwstr>
  </property>
  <property fmtid="{D5CDD505-2E9C-101B-9397-08002B2CF9AE}" pid="5" name="Objective-Comment">
    <vt:lpwstr/>
  </property>
  <property fmtid="{D5CDD505-2E9C-101B-9397-08002B2CF9AE}" pid="6" name="Objective-CreationStamp">
    <vt:filetime>2014-02-07T00:00:00Z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2014-02-07T00:00:00Z</vt:filetime>
  </property>
  <property fmtid="{D5CDD505-2E9C-101B-9397-08002B2CF9AE}" pid="11" name="Objective-Owner">
    <vt:lpwstr>Alex Robbins</vt:lpwstr>
  </property>
  <property fmtid="{D5CDD505-2E9C-101B-9397-08002B2CF9AE}" pid="12" name="Objective-Path">
    <vt:lpwstr>Objective Global Folder:SNH Fileplan:CNS - Consultations:REN - Renewable Resources:OSWF - Off-shore Wind Farms:CI - Cumulative Impacts:Offshore Wind - Forth and Tay - Cumulative Impacts - Birds:</vt:lpwstr>
  </property>
  <property fmtid="{D5CDD505-2E9C-101B-9397-08002B2CF9AE}" pid="13" name="Objective-Parent">
    <vt:lpwstr>Offshore Wind - Forth and Tay - Cumulative Impacts - Birds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i4>2</vt:i4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</Properties>
</file>